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KUL.SISE\kulm\users$\katre.vali\Desktop\"/>
    </mc:Choice>
  </mc:AlternateContent>
  <bookViews>
    <workbookView xWindow="0" yWindow="456" windowWidth="28800" windowHeight="15876" tabRatio="500" activeTab="5"/>
  </bookViews>
  <sheets>
    <sheet name="tulud" sheetId="1" state="hidden" r:id="rId1"/>
    <sheet name="kulud" sheetId="2" state="hidden" r:id="rId2"/>
    <sheet name="KOHVIK" sheetId="3" state="hidden" r:id="rId3"/>
    <sheet name="Resto" sheetId="4" state="hidden" r:id="rId4"/>
    <sheet name="piletimüük" sheetId="5" state="hidden" r:id="rId5"/>
    <sheet name="2020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7" l="1"/>
  <c r="C14" i="7"/>
  <c r="C40" i="7" l="1"/>
  <c r="C32" i="7" l="1"/>
  <c r="C16" i="7"/>
  <c r="C50" i="7" l="1"/>
  <c r="C63" i="7" s="1"/>
  <c r="C64" i="7" l="1"/>
  <c r="C19" i="5" l="1"/>
  <c r="J18" i="5"/>
  <c r="I18" i="5"/>
  <c r="D18" i="5"/>
  <c r="E18" i="5" s="1"/>
  <c r="J17" i="5"/>
  <c r="I17" i="5"/>
  <c r="D17" i="5"/>
  <c r="E17" i="5" s="1"/>
  <c r="J16" i="5"/>
  <c r="I16" i="5"/>
  <c r="D16" i="5"/>
  <c r="E16" i="5" s="1"/>
  <c r="J15" i="5"/>
  <c r="I15" i="5"/>
  <c r="D15" i="5"/>
  <c r="E15" i="5" s="1"/>
  <c r="J14" i="5"/>
  <c r="I14" i="5"/>
  <c r="D14" i="5"/>
  <c r="E14" i="5" s="1"/>
  <c r="J13" i="5"/>
  <c r="I13" i="5"/>
  <c r="D13" i="5"/>
  <c r="E13" i="5" s="1"/>
  <c r="J12" i="5"/>
  <c r="I12" i="5"/>
  <c r="D12" i="5"/>
  <c r="E12" i="5" s="1"/>
  <c r="J11" i="5"/>
  <c r="I11" i="5"/>
  <c r="D11" i="5"/>
  <c r="E11" i="5" s="1"/>
  <c r="C163" i="2" s="1"/>
  <c r="J10" i="5"/>
  <c r="I10" i="5"/>
  <c r="D10" i="5"/>
  <c r="E10" i="5" s="1"/>
  <c r="J9" i="5"/>
  <c r="I9" i="5"/>
  <c r="D9" i="5"/>
  <c r="E9" i="5" s="1"/>
  <c r="C131" i="2" s="1"/>
  <c r="J8" i="5"/>
  <c r="I8" i="5"/>
  <c r="D8" i="5"/>
  <c r="E8" i="5" s="1"/>
  <c r="C115" i="2" s="1"/>
  <c r="J7" i="5"/>
  <c r="I7" i="5"/>
  <c r="D7" i="5"/>
  <c r="E7" i="5" s="1"/>
  <c r="C100" i="2" s="1"/>
  <c r="J6" i="5"/>
  <c r="I6" i="5"/>
  <c r="D6" i="5"/>
  <c r="E6" i="5" s="1"/>
  <c r="C79" i="2" s="1"/>
  <c r="J5" i="5"/>
  <c r="I5" i="5"/>
  <c r="D5" i="5"/>
  <c r="E5" i="5" s="1"/>
  <c r="C68" i="2" s="1"/>
  <c r="J4" i="5"/>
  <c r="I4" i="5"/>
  <c r="D4" i="5"/>
  <c r="E4" i="5" s="1"/>
  <c r="C55" i="2" s="1"/>
  <c r="J3" i="5"/>
  <c r="I3" i="5"/>
  <c r="D3" i="5"/>
  <c r="E3" i="5" s="1"/>
  <c r="C43" i="2" s="1"/>
  <c r="J2" i="5"/>
  <c r="J19" i="5" s="1"/>
  <c r="I2" i="5"/>
  <c r="I19" i="5" s="1"/>
  <c r="C21" i="5" s="1"/>
  <c r="D2" i="5"/>
  <c r="E2" i="5" s="1"/>
  <c r="F5" i="4"/>
  <c r="E5" i="4"/>
  <c r="D5" i="4"/>
  <c r="C5" i="4"/>
  <c r="B5" i="4"/>
  <c r="B121" i="3"/>
  <c r="B115" i="3"/>
  <c r="C106" i="3"/>
  <c r="B106" i="3"/>
  <c r="C100" i="3"/>
  <c r="B100" i="3"/>
  <c r="D92" i="3"/>
  <c r="C92" i="3"/>
  <c r="D91" i="3"/>
  <c r="E91" i="3" s="1"/>
  <c r="C91" i="3"/>
  <c r="E89" i="3"/>
  <c r="E87" i="3"/>
  <c r="E85" i="3"/>
  <c r="F91" i="3" s="1"/>
  <c r="D82" i="3"/>
  <c r="C82" i="3"/>
  <c r="D81" i="3"/>
  <c r="C81" i="3"/>
  <c r="E81" i="3" s="1"/>
  <c r="E79" i="3"/>
  <c r="E77" i="3"/>
  <c r="E75" i="3"/>
  <c r="E73" i="3"/>
  <c r="F81" i="3" s="1"/>
  <c r="L65" i="3"/>
  <c r="K65" i="3"/>
  <c r="J65" i="3"/>
  <c r="I65" i="3"/>
  <c r="H65" i="3"/>
  <c r="G65" i="3"/>
  <c r="E65" i="3"/>
  <c r="C65" i="3"/>
  <c r="M64" i="3"/>
  <c r="F64" i="3"/>
  <c r="M63" i="3"/>
  <c r="F63" i="3"/>
  <c r="M62" i="3"/>
  <c r="F62" i="3"/>
  <c r="L58" i="3"/>
  <c r="K58" i="3"/>
  <c r="J58" i="3"/>
  <c r="I58" i="3"/>
  <c r="H58" i="3"/>
  <c r="G58" i="3"/>
  <c r="E58" i="3"/>
  <c r="C58" i="3"/>
  <c r="M57" i="3"/>
  <c r="F57" i="3"/>
  <c r="M56" i="3"/>
  <c r="F56" i="3"/>
  <c r="M55" i="3"/>
  <c r="F55" i="3"/>
  <c r="M54" i="3"/>
  <c r="M58" i="3" s="1"/>
  <c r="F54" i="3"/>
  <c r="F58" i="3" s="1"/>
  <c r="M51" i="3"/>
  <c r="F51" i="3"/>
  <c r="M50" i="3"/>
  <c r="F50" i="3"/>
  <c r="M49" i="3"/>
  <c r="F49" i="3"/>
  <c r="G44" i="3"/>
  <c r="F44" i="3"/>
  <c r="C44" i="3"/>
  <c r="S43" i="3"/>
  <c r="R43" i="3"/>
  <c r="Q43" i="3"/>
  <c r="P43" i="3"/>
  <c r="D40" i="3" s="1"/>
  <c r="J43" i="3"/>
  <c r="G43" i="3"/>
  <c r="F43" i="3"/>
  <c r="C43" i="3"/>
  <c r="G42" i="3"/>
  <c r="F42" i="3"/>
  <c r="H42" i="3" s="1"/>
  <c r="C42" i="3"/>
  <c r="H41" i="3"/>
  <c r="D41" i="3"/>
  <c r="E41" i="3" s="1"/>
  <c r="L40" i="3"/>
  <c r="K40" i="3"/>
  <c r="H40" i="3"/>
  <c r="H39" i="3"/>
  <c r="F39" i="3"/>
  <c r="C39" i="3"/>
  <c r="H38" i="3"/>
  <c r="L37" i="3"/>
  <c r="K37" i="3"/>
  <c r="H37" i="3"/>
  <c r="F36" i="3"/>
  <c r="H36" i="3" s="1"/>
  <c r="C36" i="3"/>
  <c r="S35" i="3"/>
  <c r="R35" i="3"/>
  <c r="Q35" i="3"/>
  <c r="D38" i="3" s="1"/>
  <c r="E38" i="3" s="1"/>
  <c r="P35" i="3"/>
  <c r="D37" i="3" s="1"/>
  <c r="H35" i="3"/>
  <c r="H44" i="3" s="1"/>
  <c r="L34" i="3"/>
  <c r="L43" i="3" s="1"/>
  <c r="K34" i="3"/>
  <c r="K43" i="3" s="1"/>
  <c r="H34" i="3"/>
  <c r="G31" i="3"/>
  <c r="F31" i="3"/>
  <c r="C31" i="3"/>
  <c r="J30" i="3"/>
  <c r="I30" i="3"/>
  <c r="G30" i="3"/>
  <c r="F30" i="3"/>
  <c r="C30" i="3"/>
  <c r="F29" i="3"/>
  <c r="H29" i="3" s="1"/>
  <c r="C29" i="3"/>
  <c r="S28" i="3"/>
  <c r="R28" i="3"/>
  <c r="Q28" i="3"/>
  <c r="D35" i="3" s="1"/>
  <c r="D44" i="3" s="1"/>
  <c r="P28" i="3"/>
  <c r="D34" i="3" s="1"/>
  <c r="H28" i="3"/>
  <c r="L27" i="3"/>
  <c r="K27" i="3"/>
  <c r="H27" i="3"/>
  <c r="F26" i="3"/>
  <c r="H26" i="3" s="1"/>
  <c r="C26" i="3"/>
  <c r="H25" i="3"/>
  <c r="L24" i="3"/>
  <c r="K24" i="3"/>
  <c r="H24" i="3"/>
  <c r="F23" i="3"/>
  <c r="H23" i="3" s="1"/>
  <c r="C23" i="3"/>
  <c r="H22" i="3"/>
  <c r="L21" i="3"/>
  <c r="L30" i="3" s="1"/>
  <c r="K21" i="3"/>
  <c r="H21" i="3"/>
  <c r="F20" i="3"/>
  <c r="H20" i="3" s="1"/>
  <c r="C20" i="3"/>
  <c r="H19" i="3"/>
  <c r="H31" i="3" s="1"/>
  <c r="AA18" i="3"/>
  <c r="Z18" i="3"/>
  <c r="Y18" i="3"/>
  <c r="D28" i="3" s="1"/>
  <c r="E28" i="3" s="1"/>
  <c r="X18" i="3"/>
  <c r="D27" i="3" s="1"/>
  <c r="D29" i="3" s="1"/>
  <c r="L18" i="3"/>
  <c r="K18" i="3"/>
  <c r="K30" i="3" s="1"/>
  <c r="H18" i="3"/>
  <c r="S12" i="3"/>
  <c r="R12" i="3"/>
  <c r="Q12" i="3"/>
  <c r="D25" i="3" s="1"/>
  <c r="E25" i="3" s="1"/>
  <c r="P12" i="3"/>
  <c r="D24" i="3" s="1"/>
  <c r="S9" i="3"/>
  <c r="R9" i="3"/>
  <c r="Q9" i="3"/>
  <c r="D19" i="3" s="1"/>
  <c r="P9" i="3"/>
  <c r="D18" i="3" s="1"/>
  <c r="AA8" i="3"/>
  <c r="Z8" i="3"/>
  <c r="Y8" i="3"/>
  <c r="D22" i="3" s="1"/>
  <c r="E22" i="3" s="1"/>
  <c r="X8" i="3"/>
  <c r="D21" i="3" s="1"/>
  <c r="S428" i="2"/>
  <c r="L428" i="2"/>
  <c r="D428" i="2"/>
  <c r="C423" i="2"/>
  <c r="C421" i="2"/>
  <c r="C428" i="2" s="1"/>
  <c r="D420" i="2"/>
  <c r="C420" i="2"/>
  <c r="L416" i="2"/>
  <c r="L420" i="2" s="1"/>
  <c r="S410" i="2"/>
  <c r="S411" i="2" s="1"/>
  <c r="S406" i="2"/>
  <c r="S394" i="2"/>
  <c r="C381" i="2"/>
  <c r="X370" i="2"/>
  <c r="W370" i="2"/>
  <c r="Y370" i="2" s="1"/>
  <c r="U370" i="2"/>
  <c r="Q370" i="2"/>
  <c r="P370" i="2"/>
  <c r="N370" i="2"/>
  <c r="I370" i="2"/>
  <c r="H370" i="2"/>
  <c r="J370" i="2" s="1"/>
  <c r="V369" i="2"/>
  <c r="U369" i="2"/>
  <c r="Y369" i="2" s="1"/>
  <c r="S384" i="2" s="1"/>
  <c r="O369" i="2"/>
  <c r="R369" i="2" s="1"/>
  <c r="N369" i="2"/>
  <c r="G369" i="2"/>
  <c r="J369" i="2" s="1"/>
  <c r="D384" i="2" s="1"/>
  <c r="C368" i="2"/>
  <c r="C384" i="2" s="1"/>
  <c r="S367" i="2"/>
  <c r="C367" i="2"/>
  <c r="S365" i="2"/>
  <c r="L367" i="2" s="1"/>
  <c r="J365" i="2"/>
  <c r="K365" i="2" s="1"/>
  <c r="D367" i="2" s="1"/>
  <c r="L359" i="2"/>
  <c r="D359" i="2"/>
  <c r="C359" i="2"/>
  <c r="S336" i="2"/>
  <c r="S359" i="2" s="1"/>
  <c r="S330" i="2"/>
  <c r="L330" i="2"/>
  <c r="D330" i="2"/>
  <c r="C330" i="2"/>
  <c r="I310" i="2"/>
  <c r="S307" i="2"/>
  <c r="L307" i="2"/>
  <c r="D307" i="2"/>
  <c r="C307" i="2"/>
  <c r="S300" i="2"/>
  <c r="L300" i="2"/>
  <c r="C300" i="2"/>
  <c r="O288" i="2"/>
  <c r="G288" i="2"/>
  <c r="D300" i="2" s="1"/>
  <c r="S286" i="2"/>
  <c r="C286" i="2"/>
  <c r="O285" i="2"/>
  <c r="L286" i="2" s="1"/>
  <c r="G285" i="2"/>
  <c r="D286" i="2" s="1"/>
  <c r="C279" i="2"/>
  <c r="S278" i="2"/>
  <c r="L278" i="2"/>
  <c r="D278" i="2"/>
  <c r="C276" i="2"/>
  <c r="C278" i="2" s="1"/>
  <c r="S270" i="2"/>
  <c r="L270" i="2"/>
  <c r="C270" i="2"/>
  <c r="O264" i="2"/>
  <c r="G264" i="2"/>
  <c r="D270" i="2" s="1"/>
  <c r="C253" i="2"/>
  <c r="O244" i="2"/>
  <c r="G244" i="2"/>
  <c r="O239" i="2"/>
  <c r="G239" i="2"/>
  <c r="X234" i="2"/>
  <c r="W234" i="2"/>
  <c r="V234" i="2"/>
  <c r="U234" i="2"/>
  <c r="O228" i="2"/>
  <c r="L253" i="2" s="1"/>
  <c r="G228" i="2"/>
  <c r="C226" i="2"/>
  <c r="O211" i="2"/>
  <c r="P211" i="2" s="1"/>
  <c r="H211" i="2"/>
  <c r="V210" i="2"/>
  <c r="W210" i="2" s="1"/>
  <c r="S226" i="2" s="1"/>
  <c r="P210" i="2"/>
  <c r="H210" i="2"/>
  <c r="W209" i="2"/>
  <c r="P209" i="2"/>
  <c r="O209" i="2"/>
  <c r="H209" i="2"/>
  <c r="D226" i="2" s="1"/>
  <c r="C194" i="2"/>
  <c r="S193" i="2"/>
  <c r="L193" i="2"/>
  <c r="C192" i="2"/>
  <c r="C176" i="2"/>
  <c r="S164" i="2"/>
  <c r="L164" i="2"/>
  <c r="D164" i="2"/>
  <c r="S148" i="2"/>
  <c r="L148" i="2"/>
  <c r="E148" i="2"/>
  <c r="D148" i="2"/>
  <c r="C134" i="2"/>
  <c r="S132" i="2"/>
  <c r="L132" i="2"/>
  <c r="D132" i="2"/>
  <c r="C130" i="2"/>
  <c r="C118" i="2"/>
  <c r="L116" i="2"/>
  <c r="D116" i="2"/>
  <c r="C106" i="2"/>
  <c r="C104" i="2"/>
  <c r="S102" i="2"/>
  <c r="L102" i="2"/>
  <c r="D102" i="2"/>
  <c r="S91" i="2"/>
  <c r="L91" i="2"/>
  <c r="D91" i="2"/>
  <c r="S80" i="2"/>
  <c r="L80" i="2"/>
  <c r="C78" i="2"/>
  <c r="S69" i="2"/>
  <c r="L69" i="2"/>
  <c r="D69" i="2"/>
  <c r="C67" i="2"/>
  <c r="C64" i="2"/>
  <c r="C57" i="2"/>
  <c r="S56" i="2"/>
  <c r="L56" i="2"/>
  <c r="D56" i="2"/>
  <c r="C47" i="2"/>
  <c r="C46" i="2"/>
  <c r="S45" i="2"/>
  <c r="L45" i="2"/>
  <c r="D45" i="2"/>
  <c r="C44" i="2"/>
  <c r="C33" i="2"/>
  <c r="S31" i="2"/>
  <c r="L31" i="2"/>
  <c r="S17" i="2"/>
  <c r="L17" i="2"/>
  <c r="D17" i="2"/>
  <c r="C15" i="2"/>
  <c r="C7" i="2"/>
  <c r="C5" i="2"/>
  <c r="I50" i="1"/>
  <c r="K50" i="1" s="1"/>
  <c r="C50" i="1"/>
  <c r="E50" i="1" s="1"/>
  <c r="H49" i="1"/>
  <c r="B49" i="1"/>
  <c r="H48" i="1"/>
  <c r="B48" i="1"/>
  <c r="H47" i="1"/>
  <c r="B47" i="1"/>
  <c r="C6" i="1" s="1"/>
  <c r="H46" i="1"/>
  <c r="H50" i="1" s="1"/>
  <c r="B46" i="1"/>
  <c r="C5" i="1" s="1"/>
  <c r="Q42" i="1"/>
  <c r="O12" i="1" s="1"/>
  <c r="O17" i="1" s="1"/>
  <c r="J42" i="1"/>
  <c r="H12" i="1" s="1"/>
  <c r="C42" i="1"/>
  <c r="T23" i="1"/>
  <c r="M23" i="1"/>
  <c r="F23" i="1"/>
  <c r="B15" i="1"/>
  <c r="B12" i="1"/>
  <c r="H9" i="1"/>
  <c r="C9" i="1"/>
  <c r="B8" i="1"/>
  <c r="H6" i="1"/>
  <c r="H5" i="1"/>
  <c r="B5" i="1"/>
  <c r="M65" i="3" l="1"/>
  <c r="C69" i="2"/>
  <c r="Y234" i="2"/>
  <c r="S253" i="2" s="1"/>
  <c r="R370" i="2"/>
  <c r="L384" i="2" s="1"/>
  <c r="L226" i="2"/>
  <c r="H30" i="3"/>
  <c r="H43" i="3"/>
  <c r="C56" i="2"/>
  <c r="C116" i="2"/>
  <c r="C132" i="2"/>
  <c r="D253" i="2"/>
  <c r="F65" i="3"/>
  <c r="D30" i="3"/>
  <c r="D20" i="3"/>
  <c r="E18" i="3"/>
  <c r="D43" i="3"/>
  <c r="D36" i="3"/>
  <c r="E34" i="3"/>
  <c r="D430" i="2"/>
  <c r="S420" i="2"/>
  <c r="D31" i="3"/>
  <c r="E19" i="3"/>
  <c r="E31" i="3" s="1"/>
  <c r="C16" i="2"/>
  <c r="C17" i="2" s="1"/>
  <c r="E19" i="5"/>
  <c r="C146" i="2"/>
  <c r="C147" i="2"/>
  <c r="C201" i="2"/>
  <c r="C203" i="2" s="1"/>
  <c r="C202" i="2"/>
  <c r="D26" i="3"/>
  <c r="E24" i="3"/>
  <c r="E26" i="3" s="1"/>
  <c r="H17" i="1"/>
  <c r="B50" i="1"/>
  <c r="C148" i="2"/>
  <c r="D23" i="3"/>
  <c r="D39" i="3"/>
  <c r="C175" i="2"/>
  <c r="C191" i="2"/>
  <c r="C43" i="1"/>
  <c r="C12" i="1"/>
  <c r="C17" i="1" s="1"/>
  <c r="C45" i="2"/>
  <c r="C101" i="2"/>
  <c r="C102" i="2" s="1"/>
  <c r="C162" i="2"/>
  <c r="C164" i="2" s="1"/>
  <c r="D42" i="3"/>
  <c r="E40" i="3"/>
  <c r="E42" i="3" s="1"/>
  <c r="C173" i="2"/>
  <c r="C172" i="2"/>
  <c r="C174" i="2" s="1"/>
  <c r="E21" i="3"/>
  <c r="E23" i="3" s="1"/>
  <c r="E35" i="3"/>
  <c r="E44" i="3" s="1"/>
  <c r="E37" i="3"/>
  <c r="E39" i="3" s="1"/>
  <c r="E27" i="3"/>
  <c r="E29" i="3" s="1"/>
  <c r="C430" i="2" l="1"/>
  <c r="B19" i="1" s="1"/>
  <c r="C193" i="2"/>
  <c r="E43" i="3"/>
  <c r="E36" i="3"/>
  <c r="B4" i="1"/>
  <c r="B17" i="1" s="1"/>
  <c r="C22" i="5"/>
  <c r="E30" i="3"/>
  <c r="E20" i="3"/>
  <c r="B20" i="1" l="1"/>
</calcChain>
</file>

<file path=xl/sharedStrings.xml><?xml version="1.0" encoding="utf-8"?>
<sst xmlns="http://schemas.openxmlformats.org/spreadsheetml/2006/main" count="1255" uniqueCount="611">
  <si>
    <t>EELARVE</t>
  </si>
  <si>
    <t>I kvartal 01.01.-31.03.2017 EELARVE TÄITMINE</t>
  </si>
  <si>
    <t>II kvartal 01.04-30.06.2017 EELARVE TÄITMINE</t>
  </si>
  <si>
    <t>III kvartal 01.07-30.09.2017 EELARVE TÄITMINE</t>
  </si>
  <si>
    <t>TULUD</t>
  </si>
  <si>
    <t>Piletimüük</t>
  </si>
  <si>
    <t>Tegevustoetus KUM</t>
  </si>
  <si>
    <t>Saadud tegevustoetus</t>
  </si>
  <si>
    <t>Halduskulude toetus KUM</t>
  </si>
  <si>
    <t>IT toetus KUM</t>
  </si>
  <si>
    <t>Uuendamise toetus KUM</t>
  </si>
  <si>
    <t>Kodumaine sihtfinantseerimine pĆµhivara soetuseks</t>
  </si>
  <si>
    <t>Välistegevuse toetus KUM</t>
  </si>
  <si>
    <t>Tõlketehnika toetus MEIS</t>
  </si>
  <si>
    <t>Muud müügitulud + EV100</t>
  </si>
  <si>
    <t>Muud müügitulud</t>
  </si>
  <si>
    <t>EV100. Kodumaine sihtfinantseerimine tegevuskuludeks</t>
  </si>
  <si>
    <t>Ruumide rent</t>
  </si>
  <si>
    <t>RUUM</t>
  </si>
  <si>
    <t>RUUMide rent</t>
  </si>
  <si>
    <t>Festivalide tulu</t>
  </si>
  <si>
    <t>Klaipeda</t>
  </si>
  <si>
    <t>VENEETSIA</t>
  </si>
  <si>
    <t>välisabi tegevuskuludeks</t>
  </si>
  <si>
    <t>Restorani müügitulu</t>
  </si>
  <si>
    <t>Restoran</t>
  </si>
  <si>
    <t>KOKKU</t>
  </si>
  <si>
    <t>KULUD KOKKU</t>
  </si>
  <si>
    <t>Kasum / Kahjum</t>
  </si>
  <si>
    <t>kokku</t>
  </si>
  <si>
    <t>-kohvik</t>
  </si>
  <si>
    <t>teater</t>
  </si>
  <si>
    <t>KOS</t>
  </si>
  <si>
    <t>kostüümirendi tulu</t>
  </si>
  <si>
    <t>TEHN</t>
  </si>
  <si>
    <t>tehnika renditulu</t>
  </si>
  <si>
    <t>PTEE</t>
  </si>
  <si>
    <t>publikuteenindus</t>
  </si>
  <si>
    <t>TEH</t>
  </si>
  <si>
    <t>tehniline kulu-tulu</t>
  </si>
  <si>
    <t>KAVA</t>
  </si>
  <si>
    <t>kavade müügitulu</t>
  </si>
  <si>
    <t>AJA</t>
  </si>
  <si>
    <t>ajakirjamüük</t>
  </si>
  <si>
    <t>PVP</t>
  </si>
  <si>
    <t>Piletivahendustasu %</t>
  </si>
  <si>
    <t>DVD</t>
  </si>
  <si>
    <t>DVD ühtne Eesti suurkogu</t>
  </si>
  <si>
    <t>DRT</t>
  </si>
  <si>
    <t>dekoratsiooni renditeenus</t>
  </si>
  <si>
    <t>KOST</t>
  </si>
  <si>
    <t xml:space="preserve">kostüüm </t>
  </si>
  <si>
    <t>ÜRI</t>
  </si>
  <si>
    <t>üritus</t>
  </si>
  <si>
    <t>TEHV</t>
  </si>
  <si>
    <t>tehniline valve</t>
  </si>
  <si>
    <t>USÄRK</t>
  </si>
  <si>
    <t>Unistajate T-särk</t>
  </si>
  <si>
    <t>TOLM</t>
  </si>
  <si>
    <t>Kust tuleb tolm ja kuhu kaob raha</t>
  </si>
  <si>
    <t>TSO</t>
  </si>
  <si>
    <t>Ajaleht Tsoon</t>
  </si>
  <si>
    <t>VALVE</t>
  </si>
  <si>
    <t>Tehniline Teenindus</t>
  </si>
  <si>
    <t>SPILET</t>
  </si>
  <si>
    <t>Sõidupilet Revulutsioon</t>
  </si>
  <si>
    <t>+ruum</t>
  </si>
  <si>
    <t>saadud tegevustoetus. LEP 7-5/33 04.01.2017</t>
  </si>
  <si>
    <t>pool toetusest</t>
  </si>
  <si>
    <t>saadud tegevustoetus</t>
  </si>
  <si>
    <t>personalikuludeks</t>
  </si>
  <si>
    <t>halduskuludeks</t>
  </si>
  <si>
    <t>hooldusremondi toetuseks</t>
  </si>
  <si>
    <t>välissõitude toetuseks</t>
  </si>
  <si>
    <t xml:space="preserve"> / 2</t>
  </si>
  <si>
    <t>I kvartal (01.01-31.03.2017)</t>
  </si>
  <si>
    <t>II kvartal (01.04-30.06.2017)</t>
  </si>
  <si>
    <t>III kvartal (01.07.-30.09.2017) EELARVE TÄITMINE</t>
  </si>
  <si>
    <t>Peaprojekt</t>
  </si>
  <si>
    <t>Alamprojekt</t>
  </si>
  <si>
    <t>Kulu</t>
  </si>
  <si>
    <t>NO53 Kadunud sõbra juhtum</t>
  </si>
  <si>
    <t>Lavastaja tasu</t>
  </si>
  <si>
    <t>Näitlejate tasu</t>
  </si>
  <si>
    <t>ARVED,PAG,KADU,VARA,NÄITLEJATE tasu</t>
  </si>
  <si>
    <t>VARA</t>
  </si>
  <si>
    <t>Loovmeeskonna tasu</t>
  </si>
  <si>
    <t>Lisatehnikute tasu</t>
  </si>
  <si>
    <t>Etendus-kontserttegevuse kulu</t>
  </si>
  <si>
    <t>Ajutiste lepinguliste töötajate töötasu</t>
  </si>
  <si>
    <t>Sotsmaks töötasudelt</t>
  </si>
  <si>
    <t>Töötuskindlustusmakse</t>
  </si>
  <si>
    <t>Lavastuskulud</t>
  </si>
  <si>
    <t>Turundus</t>
  </si>
  <si>
    <t>Majutus, transport, päevarahad</t>
  </si>
  <si>
    <t>Autoritasud</t>
  </si>
  <si>
    <t xml:space="preserve"> AutoriĆµiguse- ja litsentsitasud</t>
  </si>
  <si>
    <t>Muusika litsentsitasud</t>
  </si>
  <si>
    <t>NO51 Mu naine vihastas</t>
  </si>
  <si>
    <t>NO45 Kodumaa karjed</t>
  </si>
  <si>
    <t>ARVED,PAG,KODU,VARA,LISATEHNIKUTE tasu</t>
  </si>
  <si>
    <t>KMA,KODU,VARA</t>
  </si>
  <si>
    <t>KODU,VARA,turundus</t>
  </si>
  <si>
    <t>Sh Kimu OÜ ARVED,PAG 9206,52</t>
  </si>
  <si>
    <t>NO44 Fantastika</t>
  </si>
  <si>
    <t>ARVED,PAG,FAN,VARA,NÄITLEJATE tasu</t>
  </si>
  <si>
    <t>NO43 Kõnts</t>
  </si>
  <si>
    <t>PAG,SAAT,NÄIT Näitlejate tasu</t>
  </si>
  <si>
    <t>KMA,SAAT,VARA</t>
  </si>
  <si>
    <t>SAAT,PAG,NÄITLEJATE tasu</t>
  </si>
  <si>
    <t>PAG,AAT</t>
  </si>
  <si>
    <t>audiosüsteemi materjalid</t>
  </si>
  <si>
    <t>NO42 El Dorado</t>
  </si>
  <si>
    <t>KMA,NO42,VARA</t>
  </si>
  <si>
    <t>KMA,NO42. Etendus-kontserttegevuse kulu</t>
  </si>
  <si>
    <t>Autoriõigused - Eldorado Ene-Liis</t>
  </si>
  <si>
    <t>NO40 Suveöö unenägu</t>
  </si>
  <si>
    <t>PÖÖR</t>
  </si>
  <si>
    <t>PÖÖR,VARA,tõlkimine</t>
  </si>
  <si>
    <t>Autoriõigused - Pööriöö Ene-Liis</t>
  </si>
  <si>
    <t>NO39 Ema Courage</t>
  </si>
  <si>
    <t>NO38 Punane õhupall</t>
  </si>
  <si>
    <t>ARVED,PAG,NO38,VARA,NÄITLEJATE tasu</t>
  </si>
  <si>
    <t>KMA,NO38,VARA</t>
  </si>
  <si>
    <t>NO37 Pepeljajev</t>
  </si>
  <si>
    <t>ARVED,PAG,PEPE,UUS,NÄITLEJATE tasu</t>
  </si>
  <si>
    <t>UUS</t>
  </si>
  <si>
    <t>KMA,PEPE,UUS</t>
  </si>
  <si>
    <t>KMA,PEPE</t>
  </si>
  <si>
    <t xml:space="preserve">PAG,PEPE Majutuskulud kunstnik </t>
  </si>
  <si>
    <t>Sõidukulud</t>
  </si>
  <si>
    <t>NO36 JUHAN Reis öö lõppu</t>
  </si>
  <si>
    <t>ARVED,PAG,NO36,UUS,LAVAS</t>
  </si>
  <si>
    <t>ARVED,PAG,NO36,UUS,LOOV</t>
  </si>
  <si>
    <t>NO36,UUS</t>
  </si>
  <si>
    <t>NO36,UUS. Etendus-kontserttegevuse kulu</t>
  </si>
  <si>
    <t xml:space="preserve">NO36,UUS </t>
  </si>
  <si>
    <t>Ürituste ja näituste korraldamise kulud</t>
  </si>
  <si>
    <t>NO36,UUS.Ürituste ja näituste korraldamise kulud</t>
  </si>
  <si>
    <t>NO36,UUS,turundus</t>
  </si>
  <si>
    <t>NO35 Päev pärast vaikust</t>
  </si>
  <si>
    <t>ARVED,PAG,NO35,UUS,LAVAS</t>
  </si>
  <si>
    <t>ARVED,PAG,NO35,UUS,LOOV</t>
  </si>
  <si>
    <t>KMA,NO35,UUS</t>
  </si>
  <si>
    <t>KMA,NO35,UUS. Etendus kulu</t>
  </si>
  <si>
    <t>KMA,NO35,uus</t>
  </si>
  <si>
    <t>NO35,UUS.Ürituste ja näituste korraldamise kulud</t>
  </si>
  <si>
    <t>Reklaam NO35,UUS</t>
  </si>
  <si>
    <t>NO34 Jüri Nael</t>
  </si>
  <si>
    <t>NO33 Ene-Liis ja Tiit 1</t>
  </si>
  <si>
    <t>REVULUTSIOON</t>
  </si>
  <si>
    <t>PAG,NÄIT. Näitlejate tasu</t>
  </si>
  <si>
    <t>PAG,LISAT. Lisatehnikute tasuLisatehnikute tasu</t>
  </si>
  <si>
    <t>KMA,REV,UUS</t>
  </si>
  <si>
    <t>KMA,REV,UUS. Etendus-kontserttegevuse kulu</t>
  </si>
  <si>
    <t>REV,TRANSPORT naissaarele</t>
  </si>
  <si>
    <t>REV,RENT. Omari küüni ja artistide rent 31.07-19.08.2017</t>
  </si>
  <si>
    <t>PAG,REV</t>
  </si>
  <si>
    <t xml:space="preserve">REV </t>
  </si>
  <si>
    <t>REV Turundus</t>
  </si>
  <si>
    <t>Esindus-ja vastuvõtukulud</t>
  </si>
  <si>
    <t>Esindus -ja vastuvõtukulud</t>
  </si>
  <si>
    <t>Majutuskulud</t>
  </si>
  <si>
    <t>REV. Transporditeenused-külaliste vedu</t>
  </si>
  <si>
    <t>NO32 Ene-Liis ja Tiit 2</t>
  </si>
  <si>
    <t>Halduskulud</t>
  </si>
  <si>
    <t>Küte</t>
  </si>
  <si>
    <t>küte</t>
  </si>
  <si>
    <t>Elekter</t>
  </si>
  <si>
    <t>elekter</t>
  </si>
  <si>
    <t>Vesi</t>
  </si>
  <si>
    <t>vesi</t>
  </si>
  <si>
    <t>Jooksev remont</t>
  </si>
  <si>
    <t>konto</t>
  </si>
  <si>
    <t>-uuend</t>
  </si>
  <si>
    <t>Jooksvad halduskulud</t>
  </si>
  <si>
    <t>korrashoiuseadmed ja -tarvikud</t>
  </si>
  <si>
    <t>Korrashoiu seadmed,tarvikud jms.</t>
  </si>
  <si>
    <t>Puhastusteenused</t>
  </si>
  <si>
    <t>korrashoiuteenused</t>
  </si>
  <si>
    <t>Korrashoiuteenused</t>
  </si>
  <si>
    <t>Prügivedu</t>
  </si>
  <si>
    <t>Remont,restaureerimine,lammutamine</t>
  </si>
  <si>
    <t>HALD,JSC</t>
  </si>
  <si>
    <t>Käidukorraldus</t>
  </si>
  <si>
    <t>Lifti hooldus + TKK</t>
  </si>
  <si>
    <t>Ventilatsiooni-, kliima- ja kütteseadmete hooldus</t>
  </si>
  <si>
    <t>ATS hooldus</t>
  </si>
  <si>
    <t>Muud jooksvad haldusteenused</t>
  </si>
  <si>
    <t>Valveteenus</t>
  </si>
  <si>
    <t>valveteenus</t>
  </si>
  <si>
    <t>Põhivara kindlustus</t>
  </si>
  <si>
    <t>Lao rent</t>
  </si>
  <si>
    <t>Üür ja rent .Mainor Ülemiste ladu</t>
  </si>
  <si>
    <t>Muud kiinistute,hoonete,ruumide ja rajatistega seotud kulud. Mainor Ülemiste</t>
  </si>
  <si>
    <t>Halduskulude reserv</t>
  </si>
  <si>
    <t>Muud kinnistute, hoonete, ruumide ja rajatistega seotud kulud</t>
  </si>
  <si>
    <t>Elektripaigaldise kontroll</t>
  </si>
  <si>
    <t>Evakuatsiooniõppus</t>
  </si>
  <si>
    <t>Elektritööd</t>
  </si>
  <si>
    <t>Teatrimaja kindlustus</t>
  </si>
  <si>
    <t>Personalikulud</t>
  </si>
  <si>
    <t>Koolitused</t>
  </si>
  <si>
    <t>AMO sõidukulud</t>
  </si>
  <si>
    <t>AMO Rannamaja bron.tasu+ruumide,spordivahendite rent 5.-6.6.17</t>
  </si>
  <si>
    <t>Koolitusmaterjalid</t>
  </si>
  <si>
    <t xml:space="preserve">koolitusmaterjalid: Infoleht PALK. Digiõigusi:1 </t>
  </si>
  <si>
    <t>-VENEZ</t>
  </si>
  <si>
    <t>-REV</t>
  </si>
  <si>
    <t>-TANTS</t>
  </si>
  <si>
    <t>-AKTS</t>
  </si>
  <si>
    <t>Esinduskulud</t>
  </si>
  <si>
    <t>Esindus- ja vastuvõtukulud</t>
  </si>
  <si>
    <t>LPA,esinduskulud.Ürituste ja näituste korraldamise kulud</t>
  </si>
  <si>
    <t>Töötervishoid</t>
  </si>
  <si>
    <t>Tervishoiuteenused</t>
  </si>
  <si>
    <t>Muud personalikulud</t>
  </si>
  <si>
    <t>Kingitused ja auhinnad (va oma töötajad)</t>
  </si>
  <si>
    <t>Personaliteenused</t>
  </si>
  <si>
    <t>Personalitenused</t>
  </si>
  <si>
    <t>Tallinn-Viljandi-Tallinn Taisto bussid</t>
  </si>
  <si>
    <t>AMO</t>
  </si>
  <si>
    <t>Koolitusruumide rent-Bron. tasu Rannamaja 50% 5.-6.06.17</t>
  </si>
  <si>
    <t>AMO Majutuskulud</t>
  </si>
  <si>
    <t>Piletööride kulud TVL</t>
  </si>
  <si>
    <t>TVL</t>
  </si>
  <si>
    <t>Administratiivsed kulud</t>
  </si>
  <si>
    <t>Sideteenused</t>
  </si>
  <si>
    <t>Sideteenused Telia</t>
  </si>
  <si>
    <t>Liikmemaksud</t>
  </si>
  <si>
    <t>Info- ja PR teenused</t>
  </si>
  <si>
    <t>Bürootarbed</t>
  </si>
  <si>
    <t>Trükised ja muud teavikud</t>
  </si>
  <si>
    <t>Juriidilised teenused</t>
  </si>
  <si>
    <t>Jur.teenused. BDA Consulting</t>
  </si>
  <si>
    <t>Postiteenused</t>
  </si>
  <si>
    <t>Pangateenused</t>
  </si>
  <si>
    <t>Auditeerimine</t>
  </si>
  <si>
    <t>Aasta aruande auditeerimine</t>
  </si>
  <si>
    <t>Muud adminkulud</t>
  </si>
  <si>
    <t>muud admin.kulud</t>
  </si>
  <si>
    <t>Finantskulud</t>
  </si>
  <si>
    <t>Infotehnoloogia</t>
  </si>
  <si>
    <t>Soetused</t>
  </si>
  <si>
    <t>Wifi AP Buffalo N900 Gigabit Dual band Router+Wifi AP seadis</t>
  </si>
  <si>
    <t>Soetused Delli wifi kaart broadcom</t>
  </si>
  <si>
    <t>IT,LPA; Info- ja kommunikatsioonitehnoloogilise riist-ja tarkvara rent ja majutusteenus</t>
  </si>
  <si>
    <t>Hooldus</t>
  </si>
  <si>
    <t>Remont-ja hooldusteenused</t>
  </si>
  <si>
    <t>Remont-ja hooldusteenused vastavalt lepingule.BalticComputerSystems AS</t>
  </si>
  <si>
    <t>Tarkvara litsentsid</t>
  </si>
  <si>
    <t>IT tarkvara litsents</t>
  </si>
  <si>
    <t>F-Secore PSB Workstation Security,Litsants kehtib: 13.6.2020</t>
  </si>
  <si>
    <t>Hooldus. Klaar OÜ</t>
  </si>
  <si>
    <t>LPA, Info- ja kommunikatsioonitehnoloogiline tarkvara</t>
  </si>
  <si>
    <t>LPA, Litsents.Info- ja kommunikatsioonitehnoloogiline tarkvara</t>
  </si>
  <si>
    <t>Transport</t>
  </si>
  <si>
    <t>Sõidukite rendimaksed</t>
  </si>
  <si>
    <t>Autorent</t>
  </si>
  <si>
    <t>Sõidukite kindlustus</t>
  </si>
  <si>
    <t>Kindlustus</t>
  </si>
  <si>
    <t>Kütus</t>
  </si>
  <si>
    <t>kütus</t>
  </si>
  <si>
    <t>Sõidukite remont ja hooldus</t>
  </si>
  <si>
    <t>remont ja hooldus</t>
  </si>
  <si>
    <t>Takso</t>
  </si>
  <si>
    <t>Transporditeenused-takso</t>
  </si>
  <si>
    <t>takso</t>
  </si>
  <si>
    <t>Investeeringud ja soetused</t>
  </si>
  <si>
    <t>Uuendamine</t>
  </si>
  <si>
    <t>PAG,UUEND. Inventar ja selle tarvikud</t>
  </si>
  <si>
    <t>PAG;UUEND</t>
  </si>
  <si>
    <t>PAG,UUEND, Remont, restaureerimine,lammutamine</t>
  </si>
  <si>
    <t>JSC,UUEND, Remont, restaureerimine,lammutamine</t>
  </si>
  <si>
    <t>JSC,UUEND. Korrashoiuteenused. Remondijärgne koristus</t>
  </si>
  <si>
    <t>PAG,UUEND. Aku+mälukaardid+toolide katteriiete vahetus</t>
  </si>
  <si>
    <t>IT riistvara ja tarvikud</t>
  </si>
  <si>
    <t>PAG,UUEND, Apple Mac mini 2014 2,6 GHz MGEN2D/A kaart: 923</t>
  </si>
  <si>
    <t>PAG,UUEND, Kerko Katsomot OY</t>
  </si>
  <si>
    <t>Tehnika soetused</t>
  </si>
  <si>
    <t>Muud investeeringud</t>
  </si>
  <si>
    <t>MASSRUUM</t>
  </si>
  <si>
    <t>MASSRUUM. Tarkvara arenduteenus-Sophokles paigaldus ja juurutamine</t>
  </si>
  <si>
    <t>Etendusteenindus</t>
  </si>
  <si>
    <t>Etenduste kulu</t>
  </si>
  <si>
    <t>KULU</t>
  </si>
  <si>
    <t>Etendus- ja kontserttegevuse kulud</t>
  </si>
  <si>
    <t>KMA,KULU. Etendus- ja kontserttegevuse kulud</t>
  </si>
  <si>
    <t>TRAN</t>
  </si>
  <si>
    <t>Ootamatud kulumaterjalid</t>
  </si>
  <si>
    <t>Tehnika käituskulu</t>
  </si>
  <si>
    <t>Üldturundus</t>
  </si>
  <si>
    <t>Välireklaam</t>
  </si>
  <si>
    <t>Print</t>
  </si>
  <si>
    <t>-sum</t>
  </si>
  <si>
    <t>-Etendused</t>
  </si>
  <si>
    <t>Veeb</t>
  </si>
  <si>
    <t>no38</t>
  </si>
  <si>
    <t>reklaam</t>
  </si>
  <si>
    <t>Koduleht HTTP</t>
  </si>
  <si>
    <t>Trükised</t>
  </si>
  <si>
    <t>ema</t>
  </si>
  <si>
    <t>PRINT</t>
  </si>
  <si>
    <t>Müügikulud</t>
  </si>
  <si>
    <t>fan</t>
  </si>
  <si>
    <t>TURU</t>
  </si>
  <si>
    <t>TURU üldturundus</t>
  </si>
  <si>
    <t>Korporatiivgraafika</t>
  </si>
  <si>
    <t>pepe</t>
  </si>
  <si>
    <t>Välissuhted ja -turundus</t>
  </si>
  <si>
    <t>PAG,VÄLIS</t>
  </si>
  <si>
    <t>kodu</t>
  </si>
  <si>
    <t>no36</t>
  </si>
  <si>
    <t>KSU,TOLM</t>
  </si>
  <si>
    <t>PAG,VÄLIS,joonestusteenus</t>
  </si>
  <si>
    <t>Päevarahad Komandeering DÜSSELDORFI 31.03.-03.04.17</t>
  </si>
  <si>
    <t>Päevarahad Komandeering HORVAATIA 20.-25.03.17</t>
  </si>
  <si>
    <t>Päevarahad Komandeering BELGIA, SAKSAMAA 08.-15.05.17</t>
  </si>
  <si>
    <t>Päevarahad Komandeering ZÜRICH 07.-12.05.17</t>
  </si>
  <si>
    <t>Petri majutus</t>
  </si>
  <si>
    <t>PAG,VÄLIS. Majutuskulud. komandeering Riiga</t>
  </si>
  <si>
    <t>PAG,VÄLIS,PÖÖR</t>
  </si>
  <si>
    <t>Lennupiletid: Berliin-Tallinn-berliin</t>
  </si>
  <si>
    <t>PAG,VÄLIS. Sõidukulud. komandeering Riiga</t>
  </si>
  <si>
    <t>Sõidukulud Berliin-Tallinn-Berliin</t>
  </si>
  <si>
    <t>PAG,VÄLIS. Päevarahad. komandeering Riiga</t>
  </si>
  <si>
    <t>Sõidukulud: Madriid-Tallinn-Madriid</t>
  </si>
  <si>
    <t>Sõidukulud - rongipiletid</t>
  </si>
  <si>
    <t>Muud lähetuste kulud - transfer</t>
  </si>
  <si>
    <t xml:space="preserve"> KSU,Käosaar OÜ. AutoriĆµiguse- ja litsentsitasud</t>
  </si>
  <si>
    <t>PVP-piletivahendustasu; PPÕH-piletipõhi,KSU</t>
  </si>
  <si>
    <t>PVP-piletivahendustasu; PPÕH-piletipõhi,KSU Draamateatri vahenudtasu</t>
  </si>
  <si>
    <t>KSU,TURU. Transporditeenused</t>
  </si>
  <si>
    <t>Eriüritused</t>
  </si>
  <si>
    <t>Tantsulaager</t>
  </si>
  <si>
    <t>TANTS Ürituste ja näituste korraldamise kulud</t>
  </si>
  <si>
    <t xml:space="preserve">TANTS </t>
  </si>
  <si>
    <t>TANTS. Esindus- ja vastuvõtukulud</t>
  </si>
  <si>
    <t>KOKKU TANTSULAAGER</t>
  </si>
  <si>
    <t>Muud peod</t>
  </si>
  <si>
    <t>Aktsioonid</t>
  </si>
  <si>
    <t>AKTSIOON</t>
  </si>
  <si>
    <t>KAM,AKTS. Rekvisiidid</t>
  </si>
  <si>
    <t>Jüri Naela AKTSIOONi esikas</t>
  </si>
  <si>
    <t>Aktsiooni autoritasu</t>
  </si>
  <si>
    <t>PAG,ÜRI</t>
  </si>
  <si>
    <t>Eesti Autorite Ühing</t>
  </si>
  <si>
    <t>Teatripäev</t>
  </si>
  <si>
    <t>KINO</t>
  </si>
  <si>
    <t>KINO-Jaapani film. Ürituste ja näituste korraldamise kulud</t>
  </si>
  <si>
    <t>KINO-Jaapani film</t>
  </si>
  <si>
    <t>KINO autoritasu</t>
  </si>
  <si>
    <t>Muusikaline teenus-Varnja Maja OÜ.Ürituste ja näituste korraldamise kulud</t>
  </si>
  <si>
    <t>Rendiüritused</t>
  </si>
  <si>
    <t>KSU,ÜRITUS</t>
  </si>
  <si>
    <t>AMO,ÜRITUS järgne koristus</t>
  </si>
  <si>
    <t>AMO,üritusjärgne koristus 30.09 (2in)</t>
  </si>
  <si>
    <t>Ürituste korraldamise kulud-Kaubiku rent 28.08.-12.09.2019</t>
  </si>
  <si>
    <t>EV100</t>
  </si>
  <si>
    <t>Balloon</t>
  </si>
  <si>
    <t>reklaam üritusele</t>
  </si>
  <si>
    <t>PVC põrandakatete pesu</t>
  </si>
  <si>
    <t xml:space="preserve">552520 KOHVIK </t>
  </si>
  <si>
    <t>552520 NO37 PEPE</t>
  </si>
  <si>
    <t>Muud kulud</t>
  </si>
  <si>
    <t>Ajakirjanduse tellimine</t>
  </si>
  <si>
    <t>Kirjanduse ja filmide ostmine</t>
  </si>
  <si>
    <t>Trahvid</t>
  </si>
  <si>
    <t>Riigilõivud</t>
  </si>
  <si>
    <t>Kahjutasud,viivised (v.a. maksuintressid ja finantskulud)</t>
  </si>
  <si>
    <t>Ajakirja väljaandmine</t>
  </si>
  <si>
    <t>-PÖÖR</t>
  </si>
  <si>
    <t>-Uuend</t>
  </si>
  <si>
    <t>-KSU piletipõhjad,vahendustasud</t>
  </si>
  <si>
    <t>Teatri palgakulud</t>
  </si>
  <si>
    <t>Töötasud koos maksudega</t>
  </si>
  <si>
    <t xml:space="preserve">-KOHVIK </t>
  </si>
  <si>
    <t>-500500 Ajutised</t>
  </si>
  <si>
    <t>-506000 SM etendused</t>
  </si>
  <si>
    <t>-506040 TKM etendused</t>
  </si>
  <si>
    <t>Teater</t>
  </si>
  <si>
    <t>Halduspersonali tasud koos maksudega</t>
  </si>
  <si>
    <t>palgad ja tasud</t>
  </si>
  <si>
    <t>SM kulud</t>
  </si>
  <si>
    <t>Lisatasud koos maksudega</t>
  </si>
  <si>
    <t>Preemiad koos maksudega</t>
  </si>
  <si>
    <t>Üksikisiku tulumaks</t>
  </si>
  <si>
    <t>Tööjuubelid</t>
  </si>
  <si>
    <t>ARVED,PAG</t>
  </si>
  <si>
    <t>TVL piletööride palk</t>
  </si>
  <si>
    <t>PILETÖÖRID LÄHEVAD TEATRI PALGAKULU ALLA</t>
  </si>
  <si>
    <t>Sisseostetud teenused</t>
  </si>
  <si>
    <t>ARVED,PAG, Vedel Kaader</t>
  </si>
  <si>
    <t>ARVED,PAG, Studio 1089 OÜ- Valgustehnilised tööd 1-2 AKTSIOONIL</t>
  </si>
  <si>
    <t>ARVED,PAG. Meelik MTÜ. Lisatehnikute tasu.Lavatehniline teenus juunis</t>
  </si>
  <si>
    <t>PÖÖRIÖÖ Berliinis</t>
  </si>
  <si>
    <t>Festivalid</t>
  </si>
  <si>
    <t>Pööriöö Berliinis</t>
  </si>
  <si>
    <t xml:space="preserve"> PÖÖR Berliinis majutuskulud</t>
  </si>
  <si>
    <t>PÖÖR Sõidukulud</t>
  </si>
  <si>
    <t>PÖÖR Lähetatute kindlustus</t>
  </si>
  <si>
    <t>PÖÖR Päevarahad</t>
  </si>
  <si>
    <t>PÖÖR Muud lähetuste kulud</t>
  </si>
  <si>
    <t>PÖÖR Autoriõiguse- ja litsentsitasud. Orkestripartiid ja tõlge</t>
  </si>
  <si>
    <t xml:space="preserve">PÖÖR,PAG. Rekvisiidid </t>
  </si>
  <si>
    <t>PÖÖR,PAG. Lisatehnikuite tasu. Videotehniline teenindus Berliinis</t>
  </si>
  <si>
    <t>KOKKU PÖÖRIÖÖ Berliin</t>
  </si>
  <si>
    <t>VENEZ</t>
  </si>
  <si>
    <t>VENEZ Postiteenused</t>
  </si>
  <si>
    <t>VENEZ Esindus-ja vastuvõtukulud</t>
  </si>
  <si>
    <t>VENEZ Majutuskulud</t>
  </si>
  <si>
    <t>VENEZ Sõidukulud</t>
  </si>
  <si>
    <t>VENEZ Lähetatute kindlustus</t>
  </si>
  <si>
    <t>VENEZ Päevarahad</t>
  </si>
  <si>
    <t>VENEZ Muud lähetuste kulud</t>
  </si>
  <si>
    <t>VENEZ Dekoratsioonide transport</t>
  </si>
  <si>
    <t>VENEZ Valgustehnika rent</t>
  </si>
  <si>
    <t>KOKKU VENEETSIA</t>
  </si>
  <si>
    <t>KLAIPEDA</t>
  </si>
  <si>
    <t>KLAIP</t>
  </si>
  <si>
    <t>KLAIP Sõidukulud</t>
  </si>
  <si>
    <t>Lähetatute kindlustus</t>
  </si>
  <si>
    <t>KOKKU KLAIPEDA</t>
  </si>
  <si>
    <t>Päevarahad</t>
  </si>
  <si>
    <t>Muud lähetuste kulud</t>
  </si>
  <si>
    <t xml:space="preserve">Etendus- ja kontserttegevuse kulud. </t>
  </si>
  <si>
    <t>SAAT,KLAIP. Tallinn-Klaipeda-Tallinn 20.-22.06.2017</t>
  </si>
  <si>
    <t>Klaipeda kokku</t>
  </si>
  <si>
    <t xml:space="preserve"> TOJ,FEST,AutoriĆµiguse- ja litsentsitasud</t>
  </si>
  <si>
    <t>NEED LÄHEVAD TEGELIKULT IGA LAVASTUSE JUURDE</t>
  </si>
  <si>
    <t xml:space="preserve">Mu naine vihastas </t>
  </si>
  <si>
    <t>Toiduained</t>
  </si>
  <si>
    <t>sotsmaksukulud</t>
  </si>
  <si>
    <t>majanduskulud</t>
  </si>
  <si>
    <t>Remont ja hooldus</t>
  </si>
  <si>
    <t>Kohviku kasumiaruande kulud kokku</t>
  </si>
  <si>
    <t>PEOD/ERIÜRITUSED</t>
  </si>
  <si>
    <t>Omahinnas</t>
  </si>
  <si>
    <t>JOOK</t>
  </si>
  <si>
    <t>TOIT</t>
  </si>
  <si>
    <t>2016 I kv</t>
  </si>
  <si>
    <t>Tants 22:00-07:00</t>
  </si>
  <si>
    <t>2016 II kv</t>
  </si>
  <si>
    <t>Disco 22:00-07:00</t>
  </si>
  <si>
    <t>disco</t>
  </si>
  <si>
    <t>Eesti laul 22:00-07:00</t>
  </si>
  <si>
    <t>TEATER 17:00:00</t>
  </si>
  <si>
    <t>2016 III kv</t>
  </si>
  <si>
    <t>2016 IV kv</t>
  </si>
  <si>
    <t>Artishok 22:00:00</t>
  </si>
  <si>
    <t>TANTS 22:00-07:00</t>
  </si>
  <si>
    <t>pöff+disco 22:00:00</t>
  </si>
  <si>
    <t>19.11.2016</t>
  </si>
  <si>
    <t>Bronn 18:00:00</t>
  </si>
  <si>
    <t>MÄRKUS---BUUM: Aruanded-Müük.per-kassamüükjaarvemüük-päevapakkumine(kaubagrupp)</t>
  </si>
  <si>
    <t>Tants 23:00:00</t>
  </si>
  <si>
    <t>Kassamüük: lõuna/päevapakkumine NETO</t>
  </si>
  <si>
    <t>Kassamüük: pidu/eriüritused NETO</t>
  </si>
  <si>
    <t>Kassamüük: a la carte</t>
  </si>
  <si>
    <t>Kassamüük KOKKU perioodis NETO</t>
  </si>
  <si>
    <t>ARVEMÜÜK perioodis NETO (buum)</t>
  </si>
  <si>
    <t>KASSA+ARVEMÜÜK BUUM NETO</t>
  </si>
  <si>
    <t>Finantsis TULU (sh teatri oma peod)</t>
  </si>
  <si>
    <t>ARVEMÜÜK Finantsis NETO</t>
  </si>
  <si>
    <t>MÜÜK kokku</t>
  </si>
  <si>
    <t>TEGEVSUTULUD FINANTSIS</t>
  </si>
  <si>
    <t>I kvartal</t>
  </si>
  <si>
    <t>2017 I kv</t>
  </si>
  <si>
    <t>Initsikurmu 22:00-07:00</t>
  </si>
  <si>
    <t>II kvartal</t>
  </si>
  <si>
    <t>teatri sünna 21:00:00</t>
  </si>
  <si>
    <t>III kvartal</t>
  </si>
  <si>
    <t>TIKS 21:30:00</t>
  </si>
  <si>
    <t>tants+drag 22:00-07:00</t>
  </si>
  <si>
    <t>IV kvartal</t>
  </si>
  <si>
    <t>2016 Kokku</t>
  </si>
  <si>
    <t>2017 II kv</t>
  </si>
  <si>
    <t>Disco+Must mesi 22:00-07:00</t>
  </si>
  <si>
    <t>2017 III kv</t>
  </si>
  <si>
    <t>Jazz avapidu 21:00-07:00</t>
  </si>
  <si>
    <t>Pulm (arvega müük oli)</t>
  </si>
  <si>
    <t>Tants (kasutaja CAROLIN AREN nime alt)</t>
  </si>
  <si>
    <t>Kokku</t>
  </si>
  <si>
    <t>KULUD</t>
  </si>
  <si>
    <t>KÖÖK lisatasud</t>
  </si>
  <si>
    <t>KÖÖK palgakulu kokku (sh lisatasud)</t>
  </si>
  <si>
    <t xml:space="preserve"> + AARO (peakokk)</t>
  </si>
  <si>
    <t>SAAL lisatasud</t>
  </si>
  <si>
    <t>SAAL tulemustasu</t>
  </si>
  <si>
    <t>SAAL palgakulu kokku (sh lisatasud ja tulemustasud)</t>
  </si>
  <si>
    <t>KÖÖK kokku + AARO + SAAL kokku</t>
  </si>
  <si>
    <t>Töötasu</t>
  </si>
  <si>
    <t>TL aasta lõpu seisuga</t>
  </si>
  <si>
    <t>MKS</t>
  </si>
  <si>
    <t>TL kvartali lõpu seisuga</t>
  </si>
  <si>
    <t xml:space="preserve">MKS - mittekoosseisuliste lepingud (s.h. kokk Ralf) puuduvad Aaro arved, need peaksid ka tegelikult olema personali eelarves </t>
  </si>
  <si>
    <t>TL - töölepinguga töötajad</t>
  </si>
  <si>
    <t xml:space="preserve">Tooraine kulu </t>
  </si>
  <si>
    <t>FINANTS</t>
  </si>
  <si>
    <t>Kauba sissetulek per. Omahinnas ,sh TAGASTUSARVEd</t>
  </si>
  <si>
    <t>Toiduaine kulu perioodis NETO</t>
  </si>
  <si>
    <t>KASUMIARUANDES TOIDUAINE KULU kokku</t>
  </si>
  <si>
    <t xml:space="preserve">FINANTS </t>
  </si>
  <si>
    <t>Lao programmis BUUM</t>
  </si>
  <si>
    <t>Teatri oma peod NETO</t>
  </si>
  <si>
    <t>Soodustused NETO</t>
  </si>
  <si>
    <t xml:space="preserve">551500 + 552590 KM-ta
</t>
  </si>
  <si>
    <t>KONTO 551500- Inventar ja selle tarvikud</t>
  </si>
  <si>
    <t>KONTO 552590-  Muud kommunikatsiooni-, kultuuri- ja vaba aja sisustamise kulud</t>
  </si>
  <si>
    <t>KOHVIK</t>
  </si>
  <si>
    <t>2017 jaan.-sept.</t>
  </si>
  <si>
    <t>Tegevustulud</t>
  </si>
  <si>
    <t>Palgakulu</t>
  </si>
  <si>
    <t>Majanduskulud</t>
  </si>
  <si>
    <t>Puhaskasum (-kahjum)</t>
  </si>
  <si>
    <t>Kuupäev 1.01.2017 - 30.09.2017</t>
  </si>
  <si>
    <t>Raisku läinud ja maha kandunud tooraine</t>
  </si>
  <si>
    <t xml:space="preserve">Mahakandmised toit ja jook </t>
  </si>
  <si>
    <t>Inventuuri vahed toit ja jook</t>
  </si>
  <si>
    <t>Metagrupp</t>
  </si>
  <si>
    <t>Omahinnas (€)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</si>
  <si>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</si>
  <si>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</si>
  <si>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</si>
  <si>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</si>
  <si>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</si>
  <si>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</si>
  <si>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</si>
  <si>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</si>
  <si>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Sept.</t>
  </si>
  <si>
    <t>PILETIMÜÜGI PROGNOOS 2016</t>
  </si>
  <si>
    <t>Etenduste arv</t>
  </si>
  <si>
    <t>Tulu per etendus</t>
  </si>
  <si>
    <t>Tulu kokku</t>
  </si>
  <si>
    <t>Keskm. hind</t>
  </si>
  <si>
    <t>Kohti saalis</t>
  </si>
  <si>
    <t>Täituvus %</t>
  </si>
  <si>
    <t>Vaatajaid</t>
  </si>
  <si>
    <t>max täituvus</t>
  </si>
  <si>
    <t>NO44 FANTASTIKA</t>
  </si>
  <si>
    <t>NO36 Ulfsak</t>
  </si>
  <si>
    <t>NO35 Lagle</t>
  </si>
  <si>
    <t>NO34 Nael</t>
  </si>
  <si>
    <t>NO33 Ene-Liis ja Tiit 1 (9. sept)</t>
  </si>
  <si>
    <t>NO32 Ene-Liis ja Tiit 2 (dets)</t>
  </si>
  <si>
    <t>Tantsulaagrid</t>
  </si>
  <si>
    <t>Kino</t>
  </si>
  <si>
    <t>Muud peod – kontsert vm</t>
  </si>
  <si>
    <t>Kokku:</t>
  </si>
  <si>
    <t>Keskmine täituvus</t>
  </si>
  <si>
    <t>Keskmine piletihind (neto)</t>
  </si>
  <si>
    <t>Keskmine täituvus 2016</t>
  </si>
  <si>
    <t>Keskmine piletihind 2017</t>
  </si>
  <si>
    <t>TULEM</t>
  </si>
  <si>
    <t>infotehnoloogia</t>
  </si>
  <si>
    <t>administratiivsed kulud</t>
  </si>
  <si>
    <t>halduskulud</t>
  </si>
  <si>
    <t>kohviku renditulu</t>
  </si>
  <si>
    <t>Telia AS</t>
  </si>
  <si>
    <t>jooksvad remondid</t>
  </si>
  <si>
    <t>tegevustoetus</t>
  </si>
  <si>
    <t>Töötasu kulud koosseisulised</t>
  </si>
  <si>
    <t>muud tegevuskulud</t>
  </si>
  <si>
    <t>remondifondi toetus (kammersaali parketi remont)</t>
  </si>
  <si>
    <t>remondifondi toetus (2.k. fuajee parketi remont)</t>
  </si>
  <si>
    <t xml:space="preserve">   küte</t>
  </si>
  <si>
    <t xml:space="preserve">   elekter</t>
  </si>
  <si>
    <t xml:space="preserve">   vesi</t>
  </si>
  <si>
    <t xml:space="preserve">   valve</t>
  </si>
  <si>
    <t xml:space="preserve">   korrashoiu materjalid</t>
  </si>
  <si>
    <t xml:space="preserve">   korrashoiuteenused</t>
  </si>
  <si>
    <t xml:space="preserve">   kindlustused</t>
  </si>
  <si>
    <t xml:space="preserve"> </t>
  </si>
  <si>
    <t xml:space="preserve">   automaatse tuletõrje seadmete hooldus</t>
  </si>
  <si>
    <t xml:space="preserve">   lifti hooldus</t>
  </si>
  <si>
    <t xml:space="preserve">   käiduteenus</t>
  </si>
  <si>
    <t xml:space="preserve">   prügivedu</t>
  </si>
  <si>
    <t xml:space="preserve">   1. k. uste ja akende anduritega ühendamine</t>
  </si>
  <si>
    <t xml:space="preserve">   1. k. ventilatsiooni parendamine</t>
  </si>
  <si>
    <t xml:space="preserve">   1. k. köögi rajamine</t>
  </si>
  <si>
    <t xml:space="preserve">   5. k. ventseadme vahetus</t>
  </si>
  <si>
    <t xml:space="preserve">   radiaatori võrede ja seinavalgustite remont</t>
  </si>
  <si>
    <t xml:space="preserve">   jooksvad elektritööd</t>
  </si>
  <si>
    <t xml:space="preserve">   bürookulud</t>
  </si>
  <si>
    <t xml:space="preserve">   sidekulud</t>
  </si>
  <si>
    <t xml:space="preserve">   juhataja</t>
  </si>
  <si>
    <t xml:space="preserve">   korraldusjuht</t>
  </si>
  <si>
    <t xml:space="preserve">   valgustaja</t>
  </si>
  <si>
    <t xml:space="preserve">   helimees</t>
  </si>
  <si>
    <t xml:space="preserve">   koristajad (2 inimest)</t>
  </si>
  <si>
    <t xml:space="preserve">   hoovikoristaja</t>
  </si>
  <si>
    <t xml:space="preserve">   sotsiaalmaksud koosseisulistelt töötasudelt</t>
  </si>
  <si>
    <t xml:space="preserve">   mittekoosseisulised töötasud - piletöörid</t>
  </si>
  <si>
    <t xml:space="preserve">   sotsiaalmaksud mittekoosseisulistelt töötasudelt</t>
  </si>
  <si>
    <t xml:space="preserve">   porivaipade vahetus</t>
  </si>
  <si>
    <t xml:space="preserve">   4. k. ruumi remont</t>
  </si>
  <si>
    <t xml:space="preserve">   auditeerimine</t>
  </si>
  <si>
    <t xml:space="preserve">   raamatupidamine</t>
  </si>
  <si>
    <t>sihtfinantseering</t>
  </si>
  <si>
    <t>avalike ruumide rent</t>
  </si>
  <si>
    <t>2019 teenitud tulu</t>
  </si>
  <si>
    <t>sisseostetavad teenused</t>
  </si>
  <si>
    <t xml:space="preserve">   lavamees</t>
  </si>
  <si>
    <t>muud tulud</t>
  </si>
  <si>
    <t xml:space="preserve">   muud kulud</t>
  </si>
  <si>
    <t xml:space="preserve">   ladude üür ja halduskulude kompensatsioon</t>
  </si>
  <si>
    <t xml:space="preserve">   kliimaseadme ja ventilatsiooni hooldus</t>
  </si>
  <si>
    <t>Inventari korrashoid</t>
  </si>
  <si>
    <t>Eelarve 2021</t>
  </si>
  <si>
    <t>SA Sakala Teatrimaja 2021 eelarve</t>
  </si>
  <si>
    <t>Kinnitatud nõukogu koosolekul 15.12.2020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</si>
</sst>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d/m/yy"/>
  </numFmts>
  <fonts count="6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66CC00"/>
      <name val="Calibri"/>
      <family val="2"/>
      <charset val="1"/>
    </font>
    <font>
      <b/>
      <sz val="12"/>
      <name val="Calibri"/>
      <family val="2"/>
      <charset val="1"/>
    </font>
    <font>
      <sz val="12"/>
      <color rgb="FF0066FF"/>
      <name val="Calibri"/>
      <family val="2"/>
      <charset val="1"/>
    </font>
    <font>
      <b/>
      <sz val="12"/>
      <color rgb="FFFF0066"/>
      <name val="Calibri"/>
      <family val="2"/>
      <charset val="1"/>
    </font>
    <font>
      <sz val="12"/>
      <color rgb="FFFF0066"/>
      <name val="Calibri"/>
      <family val="2"/>
      <charset val="1"/>
    </font>
    <font>
      <b/>
      <sz val="12"/>
      <color rgb="FFFF6600"/>
      <name val="Calibri"/>
      <family val="2"/>
      <charset val="1"/>
    </font>
    <font>
      <sz val="12"/>
      <color rgb="FFFF6600"/>
      <name val="Calibri"/>
      <family val="2"/>
      <charset val="1"/>
    </font>
    <font>
      <sz val="12"/>
      <name val="Calibri"/>
      <family val="2"/>
      <charset val="1"/>
    </font>
    <font>
      <b/>
      <sz val="12"/>
      <color rgb="FF66CC00"/>
      <name val="Calibri"/>
      <family val="2"/>
      <charset val="1"/>
    </font>
    <font>
      <b/>
      <i/>
      <sz val="12"/>
      <color rgb="FF66CC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i/>
      <sz val="7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9"/>
      <color rgb="FF66CC00"/>
      <name val="Calibri"/>
      <family val="2"/>
      <charset val="1"/>
    </font>
    <font>
      <sz val="9"/>
      <name val="Calibri"/>
      <family val="2"/>
      <charset val="1"/>
    </font>
    <font>
      <sz val="9"/>
      <color rgb="FF669900"/>
      <name val="Calibri"/>
      <family val="2"/>
      <charset val="1"/>
    </font>
    <font>
      <sz val="12"/>
      <color rgb="FF314004"/>
      <name val="Calibri"/>
      <family val="2"/>
      <charset val="1"/>
    </font>
    <font>
      <b/>
      <sz val="12"/>
      <color rgb="FF314004"/>
      <name val="Calibri"/>
      <family val="2"/>
      <charset val="1"/>
    </font>
    <font>
      <b/>
      <i/>
      <sz val="12"/>
      <color rgb="FF314004"/>
      <name val="Calibri"/>
      <family val="2"/>
      <charset val="1"/>
    </font>
    <font>
      <b/>
      <i/>
      <sz val="12"/>
      <name val="Calibri"/>
      <family val="2"/>
      <charset val="1"/>
    </font>
    <font>
      <sz val="9"/>
      <color rgb="FF0000FF"/>
      <name val="Calibri"/>
      <family val="2"/>
      <charset val="1"/>
    </font>
    <font>
      <sz val="12"/>
      <color rgb="FF0000FF"/>
      <name val="Calibri"/>
      <family val="2"/>
      <charset val="1"/>
    </font>
    <font>
      <b/>
      <sz val="12"/>
      <color rgb="FF0000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0"/>
      <color rgb="FF66CC00"/>
      <name val="Calibri"/>
      <family val="2"/>
      <charset val="1"/>
    </font>
    <font>
      <b/>
      <sz val="9"/>
      <color rgb="FF66CC00"/>
      <name val="Calibri"/>
      <family val="2"/>
      <charset val="1"/>
    </font>
    <font>
      <sz val="12"/>
      <color rgb="FF0066CC"/>
      <name val="Calibri"/>
      <family val="2"/>
      <charset val="1"/>
    </font>
    <font>
      <b/>
      <sz val="10"/>
      <color rgb="FF0066CC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CC00CC"/>
      <name val="Calibri"/>
      <family val="2"/>
      <charset val="1"/>
    </font>
    <font>
      <sz val="12"/>
      <color rgb="FFCC00CC"/>
      <name val="Calibri"/>
      <family val="2"/>
      <charset val="1"/>
    </font>
    <font>
      <sz val="10"/>
      <color rgb="FFFF0000"/>
      <name val="Calibri"/>
      <family val="2"/>
      <charset val="1"/>
    </font>
    <font>
      <b/>
      <sz val="14"/>
      <color rgb="FFFF0000"/>
      <name val="Calibri"/>
      <family val="2"/>
      <charset val="1"/>
    </font>
    <font>
      <b/>
      <sz val="10"/>
      <color rgb="FF000000"/>
      <name val="Calibri"/>
      <family val="2"/>
      <charset val="1"/>
    </font>
    <font>
      <i/>
      <sz val="12"/>
      <color rgb="FF000000"/>
      <name val="Calibri"/>
      <family val="2"/>
      <charset val="1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b/>
      <sz val="8"/>
      <name val="Arial"/>
      <family val="2"/>
      <charset val="186"/>
    </font>
    <font>
      <b/>
      <sz val="8"/>
      <color rgb="FF66CC00"/>
      <name val="Arial"/>
      <family val="2"/>
      <charset val="186"/>
    </font>
    <font>
      <sz val="1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i/>
      <sz val="12"/>
      <color rgb="FF66CC00"/>
      <name val="Calibri"/>
      <family val="2"/>
      <charset val="1"/>
    </font>
    <font>
      <i/>
      <sz val="12"/>
      <name val="Calibri"/>
      <family val="2"/>
      <charset val="1"/>
    </font>
    <font>
      <b/>
      <i/>
      <sz val="12"/>
      <name val="Arial"/>
      <family val="2"/>
      <charset val="186"/>
    </font>
    <font>
      <b/>
      <sz val="12"/>
      <name val="Arial"/>
      <family val="2"/>
      <charset val="186"/>
    </font>
    <font>
      <sz val="12"/>
      <color rgb="FF00FF00"/>
      <name val="Calibri"/>
      <family val="2"/>
      <charset val="1"/>
    </font>
    <font>
      <b/>
      <sz val="9"/>
      <color rgb="FFFF0000"/>
      <name val="Arial"/>
      <family val="2"/>
      <charset val="186"/>
    </font>
    <font>
      <b/>
      <sz val="9"/>
      <color rgb="FF00FF00"/>
      <name val="Arial"/>
      <family val="2"/>
      <charset val="186"/>
    </font>
    <font>
      <sz val="10"/>
      <name val="Calibri"/>
      <family val="2"/>
      <charset val="1"/>
    </font>
    <font>
      <sz val="10"/>
      <color rgb="FF00FF00"/>
      <name val="Arial"/>
      <family val="2"/>
      <charset val="186"/>
    </font>
    <font>
      <i/>
      <sz val="10"/>
      <color rgb="FF00FF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rgb="FF00FF00"/>
      <name val="Arial"/>
      <family val="2"/>
      <charset val="186"/>
    </font>
    <font>
      <sz val="12"/>
      <color rgb="FF999999"/>
      <name val="Calibri"/>
      <family val="2"/>
      <charset val="1"/>
    </font>
    <font>
      <sz val="8"/>
      <name val="Calibri"/>
      <family val="2"/>
      <charset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CCFF00"/>
      </patternFill>
    </fill>
    <fill>
      <patternFill patternType="solid">
        <fgColor rgb="FFFF0000"/>
        <bgColor rgb="FFFF0066"/>
      </patternFill>
    </fill>
    <fill>
      <patternFill patternType="solid">
        <fgColor rgb="FFFFFFCC"/>
        <bgColor rgb="FFFFFF99"/>
      </patternFill>
    </fill>
    <fill>
      <patternFill patternType="solid">
        <fgColor rgb="FFCC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DDDDDD"/>
      </patternFill>
    </fill>
    <fill>
      <patternFill patternType="solid">
        <fgColor rgb="FFCCFFCC"/>
        <bgColor rgb="FFCCFFFF"/>
      </patternFill>
    </fill>
    <fill>
      <patternFill patternType="solid">
        <fgColor rgb="FFDDDDDD"/>
        <bgColor rgb="FFEEEEEE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7">
    <xf numFmtId="0" fontId="0" fillId="0" borderId="0" xfId="0"/>
    <xf numFmtId="0" fontId="0" fillId="0" borderId="0" xfId="0" applyBorder="1"/>
    <xf numFmtId="0" fontId="0" fillId="0" borderId="0" xfId="0" applyFont="1" applyBorder="1"/>
    <xf numFmtId="0" fontId="1" fillId="0" borderId="1" xfId="0" applyFont="1" applyBorder="1"/>
    <xf numFmtId="0" fontId="0" fillId="0" borderId="1" xfId="0" applyBorder="1"/>
    <xf numFmtId="0" fontId="0" fillId="0" borderId="3" xfId="0" applyBorder="1"/>
    <xf numFmtId="3" fontId="0" fillId="0" borderId="0" xfId="0" applyNumberFormat="1"/>
    <xf numFmtId="0" fontId="2" fillId="0" borderId="3" xfId="0" applyFont="1" applyBorder="1"/>
    <xf numFmtId="0" fontId="1" fillId="0" borderId="0" xfId="0" applyFont="1"/>
    <xf numFmtId="0" fontId="3" fillId="0" borderId="0" xfId="0" applyFont="1"/>
    <xf numFmtId="0" fontId="4" fillId="0" borderId="3" xfId="0" applyFont="1" applyBorder="1"/>
    <xf numFmtId="0" fontId="5" fillId="0" borderId="0" xfId="0" applyFont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3" xfId="0" applyFont="1" applyBorder="1"/>
    <xf numFmtId="164" fontId="10" fillId="0" borderId="3" xfId="0" applyNumberFormat="1" applyFont="1" applyBorder="1"/>
    <xf numFmtId="164" fontId="3" fillId="0" borderId="3" xfId="0" applyNumberFormat="1" applyFont="1" applyBorder="1"/>
    <xf numFmtId="0" fontId="1" fillId="0" borderId="3" xfId="0" applyFont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1" fillId="0" borderId="0" xfId="0" applyFont="1" applyAlignment="1">
      <alignment horizontal="left"/>
    </xf>
    <xf numFmtId="0" fontId="0" fillId="0" borderId="6" xfId="0" applyBorder="1"/>
    <xf numFmtId="0" fontId="0" fillId="0" borderId="3" xfId="0" applyFont="1" applyBorder="1"/>
    <xf numFmtId="0" fontId="12" fillId="0" borderId="3" xfId="0" applyFont="1" applyBorder="1"/>
    <xf numFmtId="0" fontId="9" fillId="0" borderId="7" xfId="0" applyFont="1" applyBorder="1"/>
    <xf numFmtId="0" fontId="9" fillId="0" borderId="8" xfId="0" applyFont="1" applyBorder="1"/>
    <xf numFmtId="0" fontId="12" fillId="0" borderId="6" xfId="0" applyFont="1" applyBorder="1"/>
    <xf numFmtId="0" fontId="1" fillId="0" borderId="0" xfId="0" applyFont="1" applyAlignment="1">
      <alignment horizontal="right"/>
    </xf>
    <xf numFmtId="0" fontId="10" fillId="0" borderId="0" xfId="0" applyFont="1"/>
    <xf numFmtId="0" fontId="13" fillId="0" borderId="0" xfId="0" applyFont="1" applyAlignment="1">
      <alignment horizontal="right"/>
    </xf>
    <xf numFmtId="0" fontId="14" fillId="0" borderId="6" xfId="0" applyFont="1" applyBorder="1"/>
    <xf numFmtId="0" fontId="10" fillId="0" borderId="9" xfId="0" applyFont="1" applyBorder="1"/>
    <xf numFmtId="0" fontId="14" fillId="0" borderId="3" xfId="0" applyFont="1" applyBorder="1"/>
    <xf numFmtId="0" fontId="10" fillId="0" borderId="10" xfId="0" applyFont="1" applyBorder="1"/>
    <xf numFmtId="0" fontId="0" fillId="0" borderId="9" xfId="0" applyBorder="1"/>
    <xf numFmtId="0" fontId="10" fillId="0" borderId="6" xfId="0" applyFont="1" applyBorder="1"/>
    <xf numFmtId="0" fontId="1" fillId="0" borderId="9" xfId="0" applyFont="1" applyBorder="1"/>
    <xf numFmtId="0" fontId="1" fillId="0" borderId="0" xfId="0" applyFont="1" applyBorder="1"/>
    <xf numFmtId="0" fontId="0" fillId="0" borderId="0" xfId="0" applyFont="1" applyAlignment="1">
      <alignment horizontal="right"/>
    </xf>
    <xf numFmtId="0" fontId="0" fillId="0" borderId="11" xfId="0" applyBorder="1"/>
    <xf numFmtId="0" fontId="14" fillId="0" borderId="1" xfId="0" applyFont="1" applyBorder="1" applyAlignment="1">
      <alignment horizontal="right"/>
    </xf>
    <xf numFmtId="0" fontId="1" fillId="0" borderId="14" xfId="0" applyFont="1" applyBorder="1"/>
    <xf numFmtId="0" fontId="1" fillId="0" borderId="15" xfId="0" applyFont="1" applyBorder="1"/>
    <xf numFmtId="0" fontId="1" fillId="0" borderId="2" xfId="0" applyFont="1" applyBorder="1"/>
    <xf numFmtId="0" fontId="14" fillId="0" borderId="0" xfId="0" applyFont="1" applyBorder="1" applyAlignment="1">
      <alignment horizontal="right"/>
    </xf>
    <xf numFmtId="3" fontId="1" fillId="0" borderId="0" xfId="0" applyNumberFormat="1" applyFont="1"/>
    <xf numFmtId="0" fontId="1" fillId="0" borderId="6" xfId="0" applyFont="1" applyBorder="1"/>
    <xf numFmtId="0" fontId="1" fillId="0" borderId="11" xfId="0" applyFont="1" applyBorder="1"/>
    <xf numFmtId="0" fontId="15" fillId="0" borderId="0" xfId="0" applyFont="1" applyBorder="1" applyAlignment="1">
      <alignment horizontal="right"/>
    </xf>
    <xf numFmtId="0" fontId="16" fillId="0" borderId="6" xfId="0" applyFont="1" applyBorder="1"/>
    <xf numFmtId="0" fontId="17" fillId="0" borderId="0" xfId="0" applyFont="1"/>
    <xf numFmtId="0" fontId="16" fillId="0" borderId="0" xfId="0" applyFont="1"/>
    <xf numFmtId="0" fontId="10" fillId="0" borderId="0" xfId="0" applyFont="1" applyBorder="1"/>
    <xf numFmtId="0" fontId="18" fillId="0" borderId="0" xfId="0" applyFont="1" applyBorder="1" applyAlignment="1">
      <alignment horizontal="right"/>
    </xf>
    <xf numFmtId="0" fontId="2" fillId="0" borderId="6" xfId="0" applyFont="1" applyBorder="1"/>
    <xf numFmtId="0" fontId="6" fillId="0" borderId="0" xfId="0" applyFont="1"/>
    <xf numFmtId="0" fontId="0" fillId="0" borderId="0" xfId="0" applyFont="1" applyAlignment="1">
      <alignment horizontal="left"/>
    </xf>
    <xf numFmtId="0" fontId="0" fillId="0" borderId="0" xfId="0" applyFont="1"/>
    <xf numFmtId="0" fontId="1" fillId="2" borderId="0" xfId="0" applyFont="1" applyFill="1" applyBorder="1"/>
    <xf numFmtId="0" fontId="14" fillId="2" borderId="0" xfId="0" applyFont="1" applyFill="1" applyBorder="1" applyAlignment="1">
      <alignment horizontal="right"/>
    </xf>
    <xf numFmtId="3" fontId="1" fillId="2" borderId="0" xfId="0" applyNumberFormat="1" applyFont="1" applyFill="1"/>
    <xf numFmtId="0" fontId="10" fillId="2" borderId="6" xfId="0" applyFont="1" applyFill="1" applyBorder="1"/>
    <xf numFmtId="0" fontId="1" fillId="2" borderId="0" xfId="0" applyFont="1" applyFill="1"/>
    <xf numFmtId="0" fontId="1" fillId="2" borderId="11" xfId="0" applyFont="1" applyFill="1" applyBorder="1"/>
    <xf numFmtId="0" fontId="10" fillId="2" borderId="0" xfId="0" applyFont="1" applyFill="1"/>
    <xf numFmtId="0" fontId="1" fillId="2" borderId="3" xfId="0" applyFont="1" applyFill="1" applyBorder="1"/>
    <xf numFmtId="0" fontId="18" fillId="0" borderId="11" xfId="0" applyFont="1" applyBorder="1" applyAlignment="1">
      <alignment horizontal="right"/>
    </xf>
    <xf numFmtId="3" fontId="0" fillId="0" borderId="0" xfId="0" applyNumberFormat="1" applyFont="1"/>
    <xf numFmtId="0" fontId="0" fillId="2" borderId="0" xfId="0" applyFont="1" applyFill="1" applyBorder="1"/>
    <xf numFmtId="0" fontId="15" fillId="2" borderId="0" xfId="0" applyFont="1" applyFill="1" applyBorder="1" applyAlignment="1">
      <alignment horizontal="right"/>
    </xf>
    <xf numFmtId="0" fontId="0" fillId="2" borderId="0" xfId="0" applyFill="1"/>
    <xf numFmtId="0" fontId="0" fillId="2" borderId="11" xfId="0" applyFill="1" applyBorder="1"/>
    <xf numFmtId="0" fontId="0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3" fontId="0" fillId="2" borderId="0" xfId="0" applyNumberFormat="1" applyFill="1"/>
    <xf numFmtId="0" fontId="0" fillId="2" borderId="6" xfId="0" applyFill="1" applyBorder="1"/>
    <xf numFmtId="0" fontId="2" fillId="0" borderId="0" xfId="0" applyFont="1" applyBorder="1"/>
    <xf numFmtId="0" fontId="0" fillId="2" borderId="3" xfId="0" applyFill="1" applyBorder="1"/>
    <xf numFmtId="0" fontId="9" fillId="0" borderId="0" xfId="0" applyFont="1"/>
    <xf numFmtId="3" fontId="1" fillId="2" borderId="6" xfId="0" applyNumberFormat="1" applyFont="1" applyFill="1" applyBorder="1"/>
    <xf numFmtId="0" fontId="20" fillId="0" borderId="0" xfId="0" applyFont="1" applyBorder="1" applyAlignment="1">
      <alignment horizontal="right"/>
    </xf>
    <xf numFmtId="0" fontId="21" fillId="0" borderId="6" xfId="0" applyFont="1" applyBorder="1"/>
    <xf numFmtId="0" fontId="22" fillId="0" borderId="4" xfId="0" applyFont="1" applyBorder="1"/>
    <xf numFmtId="0" fontId="22" fillId="0" borderId="16" xfId="0" applyFont="1" applyBorder="1"/>
    <xf numFmtId="0" fontId="22" fillId="0" borderId="5" xfId="0" applyFont="1" applyBorder="1"/>
    <xf numFmtId="0" fontId="21" fillId="0" borderId="3" xfId="0" applyFont="1" applyBorder="1"/>
    <xf numFmtId="0" fontId="23" fillId="0" borderId="6" xfId="0" applyFont="1" applyBorder="1"/>
    <xf numFmtId="0" fontId="21" fillId="0" borderId="0" xfId="0" applyFont="1"/>
    <xf numFmtId="0" fontId="21" fillId="0" borderId="11" xfId="0" applyFont="1" applyBorder="1"/>
    <xf numFmtId="0" fontId="23" fillId="0" borderId="3" xfId="0" applyFont="1" applyBorder="1"/>
    <xf numFmtId="0" fontId="0" fillId="0" borderId="7" xfId="0" applyBorder="1"/>
    <xf numFmtId="0" fontId="0" fillId="0" borderId="17" xfId="0" applyBorder="1"/>
    <xf numFmtId="0" fontId="0" fillId="0" borderId="8" xfId="0" applyBorder="1"/>
    <xf numFmtId="0" fontId="21" fillId="0" borderId="7" xfId="0" applyFont="1" applyBorder="1"/>
    <xf numFmtId="0" fontId="21" fillId="0" borderId="17" xfId="0" applyFont="1" applyBorder="1"/>
    <xf numFmtId="0" fontId="21" fillId="0" borderId="8" xfId="0" applyFont="1" applyBorder="1"/>
    <xf numFmtId="0" fontId="24" fillId="0" borderId="6" xfId="0" applyFont="1" applyBorder="1"/>
    <xf numFmtId="0" fontId="9" fillId="0" borderId="17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16" xfId="0" applyFont="1" applyBorder="1"/>
    <xf numFmtId="0" fontId="9" fillId="0" borderId="0" xfId="0" applyFont="1" applyBorder="1"/>
    <xf numFmtId="0" fontId="12" fillId="0" borderId="0" xfId="0" applyFont="1" applyBorder="1"/>
    <xf numFmtId="0" fontId="25" fillId="0" borderId="0" xfId="0" applyFont="1" applyBorder="1" applyAlignment="1">
      <alignment horizontal="right"/>
    </xf>
    <xf numFmtId="3" fontId="26" fillId="0" borderId="0" xfId="0" applyNumberFormat="1" applyFont="1"/>
    <xf numFmtId="0" fontId="26" fillId="0" borderId="6" xfId="0" applyFont="1" applyBorder="1"/>
    <xf numFmtId="0" fontId="26" fillId="0" borderId="0" xfId="0" applyFont="1"/>
    <xf numFmtId="0" fontId="27" fillId="0" borderId="0" xfId="0" applyFont="1"/>
    <xf numFmtId="0" fontId="25" fillId="0" borderId="0" xfId="0" applyFont="1" applyBorder="1" applyAlignment="1">
      <alignment horizontal="left"/>
    </xf>
    <xf numFmtId="0" fontId="28" fillId="0" borderId="0" xfId="0" applyFont="1"/>
    <xf numFmtId="0" fontId="0" fillId="0" borderId="0" xfId="0" applyFont="1" applyAlignment="1"/>
    <xf numFmtId="0" fontId="6" fillId="0" borderId="6" xfId="0" applyFont="1" applyBorder="1"/>
    <xf numFmtId="0" fontId="22" fillId="0" borderId="6" xfId="0" applyFont="1" applyBorder="1"/>
    <xf numFmtId="0" fontId="22" fillId="0" borderId="0" xfId="0" applyFont="1" applyBorder="1"/>
    <xf numFmtId="0" fontId="0" fillId="0" borderId="11" xfId="0" applyFont="1" applyBorder="1"/>
    <xf numFmtId="0" fontId="2" fillId="0" borderId="11" xfId="0" applyFont="1" applyBorder="1" applyAlignment="1">
      <alignment horizontal="right"/>
    </xf>
    <xf numFmtId="4" fontId="0" fillId="0" borderId="3" xfId="0" applyNumberFormat="1" applyBorder="1"/>
    <xf numFmtId="0" fontId="29" fillId="0" borderId="0" xfId="0" applyFont="1"/>
    <xf numFmtId="0" fontId="30" fillId="0" borderId="11" xfId="0" applyFont="1" applyBorder="1"/>
    <xf numFmtId="0" fontId="30" fillId="0" borderId="0" xfId="0" applyFont="1"/>
    <xf numFmtId="0" fontId="2" fillId="0" borderId="11" xfId="0" applyFont="1" applyBorder="1"/>
    <xf numFmtId="3" fontId="0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0" fillId="0" borderId="5" xfId="0" applyBorder="1"/>
    <xf numFmtId="3" fontId="0" fillId="0" borderId="7" xfId="0" applyNumberFormat="1" applyFont="1" applyBorder="1" applyAlignment="1">
      <alignment horizontal="right"/>
    </xf>
    <xf numFmtId="0" fontId="2" fillId="0" borderId="7" xfId="0" applyFont="1" applyBorder="1"/>
    <xf numFmtId="0" fontId="1" fillId="0" borderId="17" xfId="0" applyFont="1" applyBorder="1"/>
    <xf numFmtId="0" fontId="1" fillId="0" borderId="18" xfId="0" applyFont="1" applyBorder="1"/>
    <xf numFmtId="0" fontId="11" fillId="0" borderId="11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" fillId="0" borderId="6" xfId="0" applyFont="1" applyBorder="1" applyAlignment="1">
      <alignment horizontal="right"/>
    </xf>
    <xf numFmtId="0" fontId="12" fillId="0" borderId="0" xfId="0" applyFont="1"/>
    <xf numFmtId="0" fontId="0" fillId="0" borderId="19" xfId="0" applyBorder="1"/>
    <xf numFmtId="0" fontId="10" fillId="0" borderId="11" xfId="0" applyFont="1" applyBorder="1"/>
    <xf numFmtId="0" fontId="0" fillId="0" borderId="0" xfId="0" applyAlignment="1">
      <alignment horizontal="left"/>
    </xf>
    <xf numFmtId="0" fontId="31" fillId="0" borderId="0" xfId="0" applyFont="1" applyBorder="1" applyAlignment="1">
      <alignment horizontal="right"/>
    </xf>
    <xf numFmtId="0" fontId="32" fillId="0" borderId="0" xfId="0" applyFont="1"/>
    <xf numFmtId="0" fontId="33" fillId="0" borderId="0" xfId="0" applyFont="1"/>
    <xf numFmtId="0" fontId="16" fillId="0" borderId="3" xfId="0" applyFont="1" applyBorder="1"/>
    <xf numFmtId="0" fontId="17" fillId="0" borderId="11" xfId="0" applyFont="1" applyBorder="1" applyAlignment="1">
      <alignment horizontal="right"/>
    </xf>
    <xf numFmtId="0" fontId="17" fillId="0" borderId="6" xfId="0" applyFont="1" applyBorder="1"/>
    <xf numFmtId="0" fontId="1" fillId="0" borderId="0" xfId="0" applyFont="1" applyAlignment="1">
      <alignment horizontal="center"/>
    </xf>
    <xf numFmtId="0" fontId="34" fillId="0" borderId="0" xfId="0" applyFont="1" applyBorder="1"/>
    <xf numFmtId="0" fontId="15" fillId="0" borderId="1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5" fillId="0" borderId="3" xfId="0" applyFont="1" applyBorder="1" applyAlignment="1">
      <alignment horizontal="right"/>
    </xf>
    <xf numFmtId="0" fontId="35" fillId="0" borderId="0" xfId="0" applyFont="1" applyBorder="1" applyAlignment="1">
      <alignment horizontal="right"/>
    </xf>
    <xf numFmtId="0" fontId="36" fillId="0" borderId="11" xfId="0" applyFont="1" applyBorder="1"/>
    <xf numFmtId="0" fontId="36" fillId="0" borderId="6" xfId="0" applyFont="1" applyBorder="1"/>
    <xf numFmtId="0" fontId="35" fillId="0" borderId="11" xfId="0" applyFont="1" applyBorder="1"/>
    <xf numFmtId="0" fontId="35" fillId="0" borderId="6" xfId="0" applyFont="1" applyBorder="1"/>
    <xf numFmtId="0" fontId="35" fillId="0" borderId="0" xfId="0" applyFont="1"/>
    <xf numFmtId="0" fontId="37" fillId="0" borderId="0" xfId="0" applyFont="1"/>
    <xf numFmtId="0" fontId="38" fillId="0" borderId="3" xfId="0" applyFont="1" applyBorder="1"/>
    <xf numFmtId="0" fontId="14" fillId="2" borderId="0" xfId="0" applyFont="1" applyFill="1" applyAlignment="1">
      <alignment horizontal="right"/>
    </xf>
    <xf numFmtId="2" fontId="10" fillId="2" borderId="6" xfId="0" applyNumberFormat="1" applyFont="1" applyFill="1" applyBorder="1"/>
    <xf numFmtId="2" fontId="3" fillId="2" borderId="3" xfId="0" applyNumberFormat="1" applyFont="1" applyFill="1" applyBorder="1"/>
    <xf numFmtId="0" fontId="1" fillId="3" borderId="0" xfId="0" applyFont="1" applyFill="1"/>
    <xf numFmtId="0" fontId="14" fillId="3" borderId="0" xfId="0" applyFont="1" applyFill="1" applyAlignment="1">
      <alignment horizontal="right"/>
    </xf>
    <xf numFmtId="3" fontId="1" fillId="3" borderId="0" xfId="0" applyNumberFormat="1" applyFont="1" applyFill="1"/>
    <xf numFmtId="0" fontId="1" fillId="3" borderId="6" xfId="0" applyFont="1" applyFill="1" applyBorder="1"/>
    <xf numFmtId="0" fontId="1" fillId="3" borderId="11" xfId="0" applyFont="1" applyFill="1" applyBorder="1"/>
    <xf numFmtId="0" fontId="1" fillId="3" borderId="3" xfId="0" applyFont="1" applyFill="1" applyBorder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Border="1" applyAlignment="1">
      <alignment horizontal="center"/>
    </xf>
    <xf numFmtId="0" fontId="0" fillId="0" borderId="20" xfId="0" applyBorder="1"/>
    <xf numFmtId="0" fontId="0" fillId="0" borderId="20" xfId="0" applyFont="1" applyBorder="1"/>
    <xf numFmtId="0" fontId="28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right"/>
    </xf>
    <xf numFmtId="165" fontId="1" fillId="0" borderId="20" xfId="0" applyNumberFormat="1" applyFont="1" applyBorder="1"/>
    <xf numFmtId="0" fontId="39" fillId="0" borderId="20" xfId="0" applyFont="1" applyBorder="1"/>
    <xf numFmtId="165" fontId="1" fillId="0" borderId="20" xfId="0" applyNumberFormat="1" applyFont="1" applyBorder="1" applyAlignment="1">
      <alignment horizontal="center"/>
    </xf>
    <xf numFmtId="0" fontId="39" fillId="0" borderId="20" xfId="0" applyFont="1" applyBorder="1" applyAlignment="1">
      <alignment horizontal="center"/>
    </xf>
    <xf numFmtId="0" fontId="0" fillId="0" borderId="20" xfId="0" applyBorder="1" applyAlignment="1">
      <alignment horizontal="right"/>
    </xf>
    <xf numFmtId="4" fontId="0" fillId="0" borderId="20" xfId="0" applyNumberFormat="1" applyBorder="1" applyAlignment="1">
      <alignment horizontal="center"/>
    </xf>
    <xf numFmtId="0" fontId="39" fillId="0" borderId="20" xfId="0" applyFont="1" applyBorder="1" applyAlignment="1">
      <alignment horizontal="right" vertical="top"/>
    </xf>
    <xf numFmtId="0" fontId="1" fillId="0" borderId="20" xfId="0" applyFont="1" applyBorder="1" applyAlignment="1">
      <alignment horizontal="center" vertical="top"/>
    </xf>
    <xf numFmtId="0" fontId="39" fillId="0" borderId="20" xfId="0" applyFont="1" applyBorder="1" applyAlignment="1">
      <alignment horizontal="right"/>
    </xf>
    <xf numFmtId="0" fontId="34" fillId="0" borderId="0" xfId="0" applyFont="1"/>
    <xf numFmtId="0" fontId="40" fillId="0" borderId="0" xfId="0" applyFont="1"/>
    <xf numFmtId="0" fontId="0" fillId="0" borderId="0" xfId="0" applyFont="1" applyAlignment="1">
      <alignment horizontal="center"/>
    </xf>
    <xf numFmtId="0" fontId="1" fillId="0" borderId="20" xfId="0" applyFont="1" applyBorder="1"/>
    <xf numFmtId="0" fontId="41" fillId="4" borderId="21" xfId="0" applyFont="1" applyFill="1" applyBorder="1" applyAlignment="1">
      <alignment horizontal="center" vertical="center"/>
    </xf>
    <xf numFmtId="0" fontId="42" fillId="4" borderId="21" xfId="0" applyFont="1" applyFill="1" applyBorder="1" applyAlignment="1">
      <alignment horizontal="center" vertical="center"/>
    </xf>
    <xf numFmtId="0" fontId="43" fillId="4" borderId="21" xfId="0" applyFont="1" applyFill="1" applyBorder="1" applyAlignment="1">
      <alignment horizontal="center" vertical="center"/>
    </xf>
    <xf numFmtId="0" fontId="44" fillId="4" borderId="21" xfId="0" applyFont="1" applyFill="1" applyBorder="1" applyAlignment="1">
      <alignment horizontal="center" vertical="center"/>
    </xf>
    <xf numFmtId="0" fontId="43" fillId="4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1" fillId="4" borderId="20" xfId="0" applyFont="1" applyFill="1" applyBorder="1" applyAlignment="1">
      <alignment horizontal="center"/>
    </xf>
    <xf numFmtId="0" fontId="45" fillId="4" borderId="20" xfId="0" applyFont="1" applyFill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165" fontId="28" fillId="0" borderId="20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47" fillId="4" borderId="20" xfId="0" applyFont="1" applyFill="1" applyBorder="1" applyAlignment="1">
      <alignment horizontal="center"/>
    </xf>
    <xf numFmtId="0" fontId="46" fillId="4" borderId="20" xfId="0" applyFont="1" applyFill="1" applyBorder="1" applyAlignment="1">
      <alignment horizontal="center"/>
    </xf>
    <xf numFmtId="0" fontId="40" fillId="4" borderId="20" xfId="0" applyFont="1" applyFill="1" applyBorder="1" applyAlignment="1">
      <alignment horizontal="center"/>
    </xf>
    <xf numFmtId="4" fontId="28" fillId="0" borderId="20" xfId="0" applyNumberFormat="1" applyFont="1" applyBorder="1" applyAlignment="1">
      <alignment horizontal="center"/>
    </xf>
    <xf numFmtId="4" fontId="46" fillId="4" borderId="20" xfId="0" applyNumberFormat="1" applyFont="1" applyFill="1" applyBorder="1" applyAlignment="1">
      <alignment horizontal="center"/>
    </xf>
    <xf numFmtId="0" fontId="41" fillId="4" borderId="21" xfId="0" applyFont="1" applyFill="1" applyBorder="1" applyAlignment="1">
      <alignment horizontal="center"/>
    </xf>
    <xf numFmtId="0" fontId="0" fillId="4" borderId="0" xfId="0" applyFill="1"/>
    <xf numFmtId="0" fontId="2" fillId="4" borderId="0" xfId="0" applyFont="1" applyFill="1"/>
    <xf numFmtId="0" fontId="0" fillId="4" borderId="21" xfId="0" applyFill="1" applyBorder="1"/>
    <xf numFmtId="0" fontId="2" fillId="4" borderId="21" xfId="0" applyFont="1" applyFill="1" applyBorder="1"/>
    <xf numFmtId="0" fontId="28" fillId="0" borderId="20" xfId="0" applyFont="1" applyBorder="1" applyAlignment="1">
      <alignment horizontal="right"/>
    </xf>
    <xf numFmtId="0" fontId="0" fillId="4" borderId="20" xfId="0" applyFill="1" applyBorder="1" applyAlignment="1">
      <alignment horizontal="center"/>
    </xf>
    <xf numFmtId="0" fontId="28" fillId="0" borderId="0" xfId="0" applyFont="1" applyAlignment="1">
      <alignment horizontal="right"/>
    </xf>
    <xf numFmtId="0" fontId="1" fillId="5" borderId="20" xfId="0" applyFont="1" applyFill="1" applyBorder="1" applyAlignment="1">
      <alignment horizontal="right"/>
    </xf>
    <xf numFmtId="165" fontId="0" fillId="5" borderId="20" xfId="0" applyNumberFormat="1" applyFill="1" applyBorder="1"/>
    <xf numFmtId="0" fontId="0" fillId="5" borderId="20" xfId="0" applyFont="1" applyFill="1" applyBorder="1"/>
    <xf numFmtId="0" fontId="28" fillId="5" borderId="20" xfId="0" applyFont="1" applyFill="1" applyBorder="1" applyAlignment="1">
      <alignment horizontal="center"/>
    </xf>
    <xf numFmtId="165" fontId="28" fillId="0" borderId="0" xfId="0" applyNumberFormat="1" applyFont="1" applyBorder="1"/>
    <xf numFmtId="0" fontId="47" fillId="5" borderId="20" xfId="0" applyFont="1" applyFill="1" applyBorder="1" applyAlignment="1">
      <alignment horizontal="center"/>
    </xf>
    <xf numFmtId="0" fontId="46" fillId="5" borderId="20" xfId="0" applyFont="1" applyFill="1" applyBorder="1" applyAlignment="1">
      <alignment horizontal="center"/>
    </xf>
    <xf numFmtId="0" fontId="40" fillId="5" borderId="20" xfId="0" applyFont="1" applyFill="1" applyBorder="1" applyAlignment="1">
      <alignment horizontal="center"/>
    </xf>
    <xf numFmtId="0" fontId="28" fillId="0" borderId="0" xfId="0" applyFont="1" applyBorder="1" applyAlignment="1">
      <alignment horizontal="right"/>
    </xf>
    <xf numFmtId="0" fontId="47" fillId="5" borderId="21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/>
    </xf>
    <xf numFmtId="0" fontId="39" fillId="5" borderId="20" xfId="0" applyFont="1" applyFill="1" applyBorder="1" applyAlignment="1">
      <alignment horizontal="right"/>
    </xf>
    <xf numFmtId="0" fontId="39" fillId="5" borderId="20" xfId="0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46" fillId="7" borderId="22" xfId="0" applyFont="1" applyFill="1" applyBorder="1" applyAlignment="1"/>
    <xf numFmtId="0" fontId="46" fillId="7" borderId="23" xfId="0" applyFont="1" applyFill="1" applyBorder="1" applyAlignment="1"/>
    <xf numFmtId="0" fontId="41" fillId="7" borderId="24" xfId="0" applyFont="1" applyFill="1" applyBorder="1" applyAlignment="1">
      <alignment horizontal="center"/>
    </xf>
    <xf numFmtId="0" fontId="41" fillId="7" borderId="25" xfId="0" applyFont="1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2" fontId="45" fillId="7" borderId="26" xfId="0" applyNumberFormat="1" applyFont="1" applyFill="1" applyBorder="1" applyAlignment="1">
      <alignment horizontal="center"/>
    </xf>
    <xf numFmtId="2" fontId="41" fillId="7" borderId="25" xfId="0" applyNumberFormat="1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/>
    </xf>
    <xf numFmtId="0" fontId="41" fillId="7" borderId="27" xfId="0" applyFont="1" applyFill="1" applyBorder="1" applyAlignment="1">
      <alignment horizontal="center"/>
    </xf>
    <xf numFmtId="0" fontId="45" fillId="7" borderId="27" xfId="0" applyFont="1" applyFill="1" applyBorder="1" applyAlignment="1">
      <alignment horizontal="center"/>
    </xf>
    <xf numFmtId="2" fontId="45" fillId="7" borderId="28" xfId="0" applyNumberFormat="1" applyFont="1" applyFill="1" applyBorder="1" applyAlignment="1">
      <alignment horizontal="center"/>
    </xf>
    <xf numFmtId="2" fontId="41" fillId="7" borderId="27" xfId="0" applyNumberFormat="1" applyFon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2" fontId="45" fillId="7" borderId="20" xfId="0" applyNumberFormat="1" applyFont="1" applyFill="1" applyBorder="1" applyAlignment="1">
      <alignment horizontal="center"/>
    </xf>
    <xf numFmtId="0" fontId="41" fillId="7" borderId="29" xfId="0" applyFont="1" applyFill="1" applyBorder="1" applyAlignment="1">
      <alignment horizontal="center"/>
    </xf>
    <xf numFmtId="0" fontId="45" fillId="7" borderId="25" xfId="0" applyFont="1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40" fillId="6" borderId="20" xfId="0" applyFont="1" applyFill="1" applyBorder="1" applyAlignment="1">
      <alignment horizontal="center"/>
    </xf>
    <xf numFmtId="0" fontId="16" fillId="6" borderId="20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0" fillId="7" borderId="30" xfId="0" applyFill="1" applyBorder="1" applyAlignment="1">
      <alignment horizontal="center"/>
    </xf>
    <xf numFmtId="2" fontId="45" fillId="7" borderId="31" xfId="0" applyNumberFormat="1" applyFont="1" applyFill="1" applyBorder="1" applyAlignment="1">
      <alignment horizontal="center"/>
    </xf>
    <xf numFmtId="0" fontId="41" fillId="7" borderId="0" xfId="0" applyFont="1" applyFill="1" applyBorder="1" applyAlignment="1">
      <alignment horizontal="center"/>
    </xf>
    <xf numFmtId="0" fontId="41" fillId="7" borderId="0" xfId="0" applyFont="1" applyFill="1"/>
    <xf numFmtId="0" fontId="41" fillId="7" borderId="0" xfId="0" applyFont="1" applyFill="1" applyAlignment="1">
      <alignment horizontal="center"/>
    </xf>
    <xf numFmtId="2" fontId="41" fillId="7" borderId="0" xfId="0" applyNumberFormat="1" applyFont="1" applyFill="1" applyAlignment="1">
      <alignment horizontal="center"/>
    </xf>
    <xf numFmtId="0" fontId="12" fillId="6" borderId="21" xfId="0" applyFont="1" applyFill="1" applyBorder="1" applyAlignment="1">
      <alignment horizontal="center"/>
    </xf>
    <xf numFmtId="0" fontId="17" fillId="6" borderId="21" xfId="0" applyFont="1" applyFill="1" applyBorder="1" applyAlignment="1">
      <alignment horizontal="center"/>
    </xf>
    <xf numFmtId="0" fontId="39" fillId="0" borderId="0" xfId="0" applyFont="1" applyBorder="1"/>
    <xf numFmtId="0" fontId="45" fillId="7" borderId="24" xfId="0" applyFont="1" applyFill="1" applyBorder="1" applyAlignment="1">
      <alignment horizontal="center"/>
    </xf>
    <xf numFmtId="0" fontId="45" fillId="5" borderId="27" xfId="0" applyFont="1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2" fontId="45" fillId="5" borderId="28" xfId="0" applyNumberFormat="1" applyFont="1" applyFill="1" applyBorder="1" applyAlignment="1">
      <alignment horizontal="center"/>
    </xf>
    <xf numFmtId="2" fontId="41" fillId="5" borderId="27" xfId="0" applyNumberFormat="1" applyFont="1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41" fillId="7" borderId="27" xfId="0" applyFont="1" applyFill="1" applyBorder="1"/>
    <xf numFmtId="2" fontId="41" fillId="6" borderId="21" xfId="0" applyNumberFormat="1" applyFont="1" applyFill="1" applyBorder="1" applyAlignment="1">
      <alignment horizontal="center"/>
    </xf>
    <xf numFmtId="2" fontId="50" fillId="6" borderId="21" xfId="0" applyNumberFormat="1" applyFont="1" applyFill="1" applyBorder="1" applyAlignment="1">
      <alignment horizontal="center"/>
    </xf>
    <xf numFmtId="2" fontId="51" fillId="6" borderId="21" xfId="0" applyNumberFormat="1" applyFont="1" applyFill="1" applyBorder="1" applyAlignment="1">
      <alignment horizontal="center"/>
    </xf>
    <xf numFmtId="0" fontId="52" fillId="0" borderId="0" xfId="0" applyFont="1"/>
    <xf numFmtId="0" fontId="54" fillId="4" borderId="21" xfId="0" applyFont="1" applyFill="1" applyBorder="1" applyAlignment="1">
      <alignment horizontal="center" vertical="center"/>
    </xf>
    <xf numFmtId="0" fontId="55" fillId="0" borderId="20" xfId="0" applyFont="1" applyBorder="1"/>
    <xf numFmtId="0" fontId="16" fillId="0" borderId="20" xfId="0" applyFont="1" applyBorder="1" applyAlignment="1">
      <alignment horizontal="center"/>
    </xf>
    <xf numFmtId="0" fontId="56" fillId="4" borderId="20" xfId="0" applyFont="1" applyFill="1" applyBorder="1" applyAlignment="1">
      <alignment horizontal="center"/>
    </xf>
    <xf numFmtId="0" fontId="57" fillId="4" borderId="20" xfId="0" applyFont="1" applyFill="1" applyBorder="1" applyAlignment="1">
      <alignment horizontal="center"/>
    </xf>
    <xf numFmtId="0" fontId="58" fillId="4" borderId="21" xfId="0" applyFont="1" applyFill="1" applyBorder="1" applyAlignment="1">
      <alignment horizontal="center"/>
    </xf>
    <xf numFmtId="0" fontId="59" fillId="4" borderId="21" xfId="0" applyFont="1" applyFill="1" applyBorder="1" applyAlignment="1">
      <alignment horizontal="center"/>
    </xf>
    <xf numFmtId="0" fontId="16" fillId="0" borderId="20" xfId="0" applyFont="1" applyBorder="1"/>
    <xf numFmtId="0" fontId="52" fillId="4" borderId="0" xfId="0" applyFont="1" applyFill="1"/>
    <xf numFmtId="0" fontId="41" fillId="0" borderId="10" xfId="0" applyFont="1" applyBorder="1" applyAlignment="1">
      <alignment horizontal="center"/>
    </xf>
    <xf numFmtId="0" fontId="52" fillId="4" borderId="21" xfId="0" applyFont="1" applyFill="1" applyBorder="1"/>
    <xf numFmtId="0" fontId="41" fillId="0" borderId="18" xfId="0" applyFont="1" applyBorder="1" applyAlignment="1">
      <alignment horizontal="center"/>
    </xf>
    <xf numFmtId="0" fontId="41" fillId="5" borderId="10" xfId="0" applyFont="1" applyFill="1" applyBorder="1" applyAlignment="1">
      <alignment horizontal="center"/>
    </xf>
    <xf numFmtId="0" fontId="41" fillId="5" borderId="19" xfId="0" applyFont="1" applyFill="1" applyBorder="1" applyAlignment="1">
      <alignment horizontal="center"/>
    </xf>
    <xf numFmtId="2" fontId="1" fillId="0" borderId="0" xfId="0" applyNumberFormat="1" applyFont="1"/>
    <xf numFmtId="0" fontId="47" fillId="7" borderId="22" xfId="0" applyFont="1" applyFill="1" applyBorder="1" applyAlignment="1"/>
    <xf numFmtId="0" fontId="47" fillId="7" borderId="22" xfId="0" applyFont="1" applyFill="1" applyBorder="1" applyAlignment="1">
      <alignment horizontal="center"/>
    </xf>
    <xf numFmtId="2" fontId="0" fillId="0" borderId="0" xfId="0" applyNumberFormat="1"/>
    <xf numFmtId="0" fontId="41" fillId="7" borderId="21" xfId="0" applyFont="1" applyFill="1" applyBorder="1" applyAlignment="1">
      <alignment horizontal="center"/>
    </xf>
    <xf numFmtId="0" fontId="46" fillId="7" borderId="0" xfId="0" applyFont="1" applyFill="1" applyBorder="1" applyAlignment="1"/>
    <xf numFmtId="0" fontId="41" fillId="8" borderId="21" xfId="0" applyFont="1" applyFill="1" applyBorder="1" applyAlignment="1">
      <alignment horizontal="center" vertical="center"/>
    </xf>
    <xf numFmtId="0" fontId="42" fillId="8" borderId="2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5" fillId="8" borderId="21" xfId="0" applyFont="1" applyFill="1" applyBorder="1" applyAlignment="1">
      <alignment horizontal="center"/>
    </xf>
    <xf numFmtId="0" fontId="0" fillId="8" borderId="20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1" fillId="8" borderId="21" xfId="0" applyFont="1" applyFill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58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0" fillId="8" borderId="0" xfId="0" applyFill="1"/>
    <xf numFmtId="0" fontId="0" fillId="8" borderId="20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5" fillId="5" borderId="21" xfId="0" applyFont="1" applyFill="1" applyBorder="1" applyAlignment="1">
      <alignment horizontal="center"/>
    </xf>
    <xf numFmtId="0" fontId="9" fillId="5" borderId="20" xfId="0" applyFont="1" applyFill="1" applyBorder="1" applyAlignment="1">
      <alignment horizontal="center" vertical="center"/>
    </xf>
    <xf numFmtId="49" fontId="41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vertical="center"/>
    </xf>
    <xf numFmtId="49" fontId="41" fillId="0" borderId="18" xfId="0" applyNumberFormat="1" applyFont="1" applyBorder="1" applyAlignment="1" applyProtection="1">
      <alignment horizontal="center" vertical="center" wrapText="1"/>
      <protection locked="0"/>
    </xf>
    <xf numFmtId="0" fontId="41" fillId="0" borderId="6" xfId="0" applyFont="1" applyBorder="1" applyAlignment="1" applyProtection="1">
      <protection locked="0"/>
    </xf>
    <xf numFmtId="0" fontId="41" fillId="0" borderId="6" xfId="0" applyFont="1" applyBorder="1" applyAlignment="1" applyProtection="1">
      <alignment horizontal="center"/>
      <protection locked="0"/>
    </xf>
    <xf numFmtId="0" fontId="41" fillId="0" borderId="10" xfId="0" applyFont="1" applyBorder="1" applyAlignment="1" applyProtection="1">
      <alignment horizontal="center"/>
      <protection locked="0"/>
    </xf>
    <xf numFmtId="49" fontId="41" fillId="0" borderId="4" xfId="0" applyNumberFormat="1" applyFont="1" applyBorder="1" applyAlignment="1" applyProtection="1">
      <alignment horizontal="right"/>
      <protection locked="0"/>
    </xf>
    <xf numFmtId="0" fontId="45" fillId="0" borderId="4" xfId="0" applyFont="1" applyBorder="1" applyAlignment="1" applyProtection="1">
      <protection locked="0"/>
    </xf>
    <xf numFmtId="0" fontId="45" fillId="0" borderId="18" xfId="0" applyFont="1" applyBorder="1" applyAlignment="1" applyProtection="1">
      <protection locked="0"/>
    </xf>
    <xf numFmtId="49" fontId="45" fillId="0" borderId="6" xfId="0" applyNumberFormat="1" applyFont="1" applyBorder="1" applyAlignment="1" applyProtection="1">
      <alignment horizontal="right"/>
      <protection locked="0"/>
    </xf>
    <xf numFmtId="4" fontId="45" fillId="0" borderId="6" xfId="0" applyNumberFormat="1" applyFont="1" applyBorder="1" applyAlignment="1" applyProtection="1">
      <protection locked="0"/>
    </xf>
    <xf numFmtId="4" fontId="45" fillId="0" borderId="10" xfId="0" applyNumberFormat="1" applyFont="1" applyBorder="1" applyAlignment="1" applyProtection="1">
      <protection locked="0"/>
    </xf>
    <xf numFmtId="49" fontId="45" fillId="0" borderId="7" xfId="0" applyNumberFormat="1" applyFont="1" applyBorder="1" applyAlignment="1" applyProtection="1">
      <alignment horizontal="right"/>
      <protection locked="0"/>
    </xf>
    <xf numFmtId="4" fontId="45" fillId="0" borderId="7" xfId="0" applyNumberFormat="1" applyFont="1" applyBorder="1" applyAlignment="1" applyProtection="1">
      <protection locked="0"/>
    </xf>
    <xf numFmtId="4" fontId="45" fillId="0" borderId="19" xfId="0" applyNumberFormat="1" applyFont="1" applyBorder="1" applyAlignment="1" applyProtection="1">
      <protection locked="0"/>
    </xf>
    <xf numFmtId="49" fontId="41" fillId="0" borderId="6" xfId="0" applyNumberFormat="1" applyFont="1" applyBorder="1" applyAlignment="1" applyProtection="1">
      <alignment horizontal="right"/>
      <protection locked="0"/>
    </xf>
    <xf numFmtId="4" fontId="0" fillId="0" borderId="19" xfId="0" applyNumberFormat="1" applyBorder="1"/>
    <xf numFmtId="0" fontId="0" fillId="0" borderId="27" xfId="0" applyFont="1" applyBorder="1" applyAlignment="1">
      <alignment horizontal="right" vertical="center" wrapText="1"/>
    </xf>
    <xf numFmtId="0" fontId="1" fillId="0" borderId="27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3" fontId="0" fillId="0" borderId="27" xfId="0" applyNumberFormat="1" applyFont="1" applyBorder="1" applyAlignment="1">
      <alignment horizontal="right" vertical="center" wrapText="1"/>
    </xf>
    <xf numFmtId="3" fontId="60" fillId="0" borderId="27" xfId="0" applyNumberFormat="1" applyFont="1" applyBorder="1"/>
    <xf numFmtId="0" fontId="60" fillId="0" borderId="0" xfId="0" applyFont="1"/>
    <xf numFmtId="0" fontId="1" fillId="0" borderId="27" xfId="0" applyFont="1" applyBorder="1" applyAlignment="1">
      <alignment horizontal="right" vertical="center" wrapText="1"/>
    </xf>
    <xf numFmtId="3" fontId="1" fillId="0" borderId="27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62" fillId="0" borderId="0" xfId="0" applyFont="1"/>
    <xf numFmtId="3" fontId="63" fillId="0" borderId="0" xfId="0" applyNumberFormat="1" applyFont="1"/>
    <xf numFmtId="0" fontId="63" fillId="0" borderId="0" xfId="0" applyFont="1"/>
    <xf numFmtId="3" fontId="62" fillId="0" borderId="0" xfId="0" applyNumberFormat="1" applyFont="1"/>
    <xf numFmtId="0" fontId="62" fillId="0" borderId="0" xfId="0" applyFont="1" applyBorder="1"/>
    <xf numFmtId="0" fontId="64" fillId="0" borderId="0" xfId="0" applyFont="1"/>
    <xf numFmtId="0" fontId="62" fillId="9" borderId="33" xfId="0" applyFont="1" applyFill="1" applyBorder="1"/>
    <xf numFmtId="0" fontId="63" fillId="0" borderId="33" xfId="0" applyFont="1" applyBorder="1"/>
    <xf numFmtId="0" fontId="63" fillId="0" borderId="33" xfId="0" applyFont="1" applyBorder="1" applyAlignment="1">
      <alignment wrapText="1"/>
    </xf>
    <xf numFmtId="0" fontId="63" fillId="0" borderId="33" xfId="0" applyFont="1" applyBorder="1" applyAlignment="1">
      <alignment horizontal="right"/>
    </xf>
    <xf numFmtId="0" fontId="62" fillId="0" borderId="33" xfId="0" applyFont="1" applyBorder="1"/>
    <xf numFmtId="3" fontId="62" fillId="0" borderId="27" xfId="0" applyNumberFormat="1" applyFont="1" applyBorder="1"/>
    <xf numFmtId="3" fontId="63" fillId="0" borderId="27" xfId="0" applyNumberFormat="1" applyFont="1" applyBorder="1"/>
    <xf numFmtId="3" fontId="63" fillId="0" borderId="27" xfId="0" applyNumberFormat="1" applyFont="1" applyBorder="1" applyAlignment="1">
      <alignment vertical="top"/>
    </xf>
    <xf numFmtId="3" fontId="62" fillId="9" borderId="27" xfId="0" applyNumberFormat="1" applyFont="1" applyFill="1" applyBorder="1"/>
    <xf numFmtId="3" fontId="62" fillId="0" borderId="27" xfId="0" applyNumberFormat="1" applyFont="1" applyBorder="1" applyAlignment="1">
      <alignment vertical="top"/>
    </xf>
    <xf numFmtId="3" fontId="62" fillId="0" borderId="27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62" fillId="0" borderId="0" xfId="0" applyFont="1" applyAlignment="1">
      <alignment vertical="top"/>
    </xf>
    <xf numFmtId="0" fontId="63" fillId="0" borderId="0" xfId="0" applyFont="1" applyAlignment="1">
      <alignment vertical="top"/>
    </xf>
    <xf numFmtId="3" fontId="62" fillId="10" borderId="27" xfId="0" applyNumberFormat="1" applyFont="1" applyFill="1" applyBorder="1"/>
    <xf numFmtId="0" fontId="62" fillId="9" borderId="7" xfId="0" applyFont="1" applyFill="1" applyBorder="1" applyAlignment="1">
      <alignment vertical="top"/>
    </xf>
    <xf numFmtId="0" fontId="62" fillId="10" borderId="28" xfId="0" applyFont="1" applyFill="1" applyBorder="1" applyAlignment="1">
      <alignment vertical="top"/>
    </xf>
    <xf numFmtId="0" fontId="63" fillId="0" borderId="33" xfId="0" applyFont="1" applyBorder="1" applyAlignment="1">
      <alignment vertical="top" wrapText="1"/>
    </xf>
    <xf numFmtId="0" fontId="63" fillId="0" borderId="33" xfId="0" applyFont="1" applyBorder="1" applyAlignment="1">
      <alignment vertical="top"/>
    </xf>
    <xf numFmtId="0" fontId="62" fillId="0" borderId="33" xfId="0" applyFont="1" applyBorder="1" applyAlignment="1">
      <alignment horizontal="right"/>
    </xf>
    <xf numFmtId="3" fontId="63" fillId="0" borderId="27" xfId="0" applyNumberFormat="1" applyFont="1" applyFill="1" applyBorder="1"/>
    <xf numFmtId="0" fontId="6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42" fillId="4" borderId="21" xfId="0" applyFont="1" applyFill="1" applyBorder="1" applyAlignment="1">
      <alignment horizontal="center" vertical="center"/>
    </xf>
    <xf numFmtId="0" fontId="45" fillId="4" borderId="2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45" fillId="4" borderId="2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6" fillId="4" borderId="21" xfId="0" applyFont="1" applyFill="1" applyBorder="1" applyAlignment="1">
      <alignment horizontal="center" vertical="center"/>
    </xf>
    <xf numFmtId="0" fontId="40" fillId="4" borderId="20" xfId="0" applyFont="1" applyFill="1" applyBorder="1" applyAlignment="1">
      <alignment horizontal="center" vertical="center"/>
    </xf>
    <xf numFmtId="0" fontId="48" fillId="4" borderId="20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41" fillId="4" borderId="2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46" fillId="5" borderId="21" xfId="0" applyFont="1" applyFill="1" applyBorder="1" applyAlignment="1">
      <alignment horizontal="center" vertical="center"/>
    </xf>
    <xf numFmtId="0" fontId="49" fillId="5" borderId="20" xfId="0" applyFont="1" applyFill="1" applyBorder="1" applyAlignment="1">
      <alignment horizontal="center" vertical="center" wrapText="1"/>
    </xf>
    <xf numFmtId="0" fontId="40" fillId="5" borderId="2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 wrapText="1"/>
    </xf>
    <xf numFmtId="0" fontId="39" fillId="6" borderId="20" xfId="0" applyFont="1" applyFill="1" applyBorder="1" applyAlignment="1">
      <alignment horizontal="center" vertical="center"/>
    </xf>
    <xf numFmtId="0" fontId="53" fillId="4" borderId="21" xfId="0" applyFont="1" applyFill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 wrapText="1"/>
    </xf>
    <xf numFmtId="49" fontId="41" fillId="0" borderId="10" xfId="0" applyNumberFormat="1" applyFont="1" applyBorder="1" applyAlignment="1" applyProtection="1">
      <alignment horizontal="center" vertical="center" wrapText="1"/>
      <protection locked="0"/>
    </xf>
    <xf numFmtId="0" fontId="62" fillId="9" borderId="27" xfId="0" applyFont="1" applyFill="1" applyBorder="1" applyAlignment="1">
      <alignment horizontal="center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CC00CC"/>
      <rgbColor rgb="FF00FFFF"/>
      <rgbColor rgb="FF800000"/>
      <rgbColor rgb="FF008000"/>
      <rgbColor rgb="FF000080"/>
      <rgbColor rgb="FF669900"/>
      <rgbColor rgb="FF800080"/>
      <rgbColor rgb="FF008080"/>
      <rgbColor rgb="FFC0C0C0"/>
      <rgbColor rgb="FF808080"/>
      <rgbColor rgb="FF9999FF"/>
      <rgbColor rgb="FFEF413D"/>
      <rgbColor rgb="FFFFFFCC"/>
      <rgbColor rgb="FFCCFFFF"/>
      <rgbColor rgb="FF660066"/>
      <rgbColor rgb="FFFF8080"/>
      <rgbColor rgb="FF0066CC"/>
      <rgbColor rgb="FFDDDDDD"/>
      <rgbColor rgb="FF000080"/>
      <rgbColor rgb="FFFF0066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0066FF"/>
      <rgbColor rgb="FF33CCCC"/>
      <rgbColor rgb="FF66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14004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opLeftCell="A37" zoomScale="85" zoomScaleNormal="85" workbookViewId="0">
      <selection activeCell="Z18" sqref="Z18"/>
    </sheetView>
  </sheetViews>
  <sheetFormatPr defaultColWidth="8.796875" defaultRowHeight="15.6" x14ac:dyDescent="0.3"/>
  <cols>
    <col min="1" max="1" width="33.5" customWidth="1"/>
    <col min="2" max="2" width="8.5" customWidth="1"/>
    <col min="3" max="3" width="10.5" style="1" hidden="1" customWidth="1"/>
    <col min="4" max="7" width="10.5" hidden="1" customWidth="1"/>
    <col min="8" max="8" width="10.5" style="2" hidden="1" customWidth="1"/>
    <col min="9" max="14" width="10.5" hidden="1" customWidth="1"/>
    <col min="15" max="15" width="17.19921875" style="1" customWidth="1"/>
    <col min="16" max="1025" width="8.5" customWidth="1"/>
  </cols>
  <sheetData>
    <row r="1" spans="1:19" s="4" customFormat="1" x14ac:dyDescent="0.3">
      <c r="A1" s="3" t="s">
        <v>0</v>
      </c>
      <c r="C1" s="376" t="s">
        <v>1</v>
      </c>
      <c r="D1" s="376"/>
      <c r="E1" s="376"/>
      <c r="F1" s="376"/>
      <c r="G1" s="376"/>
      <c r="H1" s="376" t="s">
        <v>2</v>
      </c>
      <c r="I1" s="376"/>
      <c r="J1" s="376"/>
      <c r="K1" s="376"/>
      <c r="O1" s="376" t="s">
        <v>3</v>
      </c>
      <c r="P1" s="376"/>
      <c r="Q1" s="376"/>
      <c r="R1" s="376"/>
      <c r="S1" s="376"/>
    </row>
    <row r="2" spans="1:19" x14ac:dyDescent="0.3">
      <c r="A2" t="s">
        <v>4</v>
      </c>
      <c r="H2" s="5"/>
    </row>
    <row r="3" spans="1:19" x14ac:dyDescent="0.3">
      <c r="H3" s="5"/>
    </row>
    <row r="4" spans="1:19" x14ac:dyDescent="0.3">
      <c r="A4" t="s">
        <v>5</v>
      </c>
      <c r="B4" s="6">
        <f>piletimüük!E19</f>
        <v>255658.75</v>
      </c>
      <c r="C4" s="7">
        <v>63733.75</v>
      </c>
      <c r="D4" s="8">
        <v>322130</v>
      </c>
      <c r="H4" s="7">
        <v>41355.43</v>
      </c>
      <c r="I4" s="8">
        <v>322130</v>
      </c>
      <c r="J4" s="9" t="s">
        <v>5</v>
      </c>
      <c r="O4" s="10">
        <v>25439.67</v>
      </c>
      <c r="P4" s="8">
        <v>322130</v>
      </c>
      <c r="Q4" s="9" t="s">
        <v>5</v>
      </c>
    </row>
    <row r="5" spans="1:19" x14ac:dyDescent="0.3">
      <c r="A5" t="s">
        <v>6</v>
      </c>
      <c r="B5" s="6">
        <f>645464+31459</f>
        <v>676923</v>
      </c>
      <c r="C5" s="7">
        <f>tulud!B46</f>
        <v>338461.5</v>
      </c>
      <c r="H5" s="7">
        <f>tulud!H46</f>
        <v>338461.5</v>
      </c>
      <c r="I5" s="8">
        <v>352100</v>
      </c>
      <c r="J5" s="8" t="s">
        <v>7</v>
      </c>
      <c r="O5" s="5">
        <v>0</v>
      </c>
      <c r="P5" s="8">
        <v>352100</v>
      </c>
      <c r="Q5" s="8" t="s">
        <v>7</v>
      </c>
    </row>
    <row r="6" spans="1:19" x14ac:dyDescent="0.3">
      <c r="A6" t="s">
        <v>8</v>
      </c>
      <c r="B6" s="6">
        <v>104368</v>
      </c>
      <c r="C6" s="7">
        <f>tulud!B47+tulud!B48</f>
        <v>65534</v>
      </c>
      <c r="H6" s="7">
        <f>tulud!H47+tulud!H48</f>
        <v>65534</v>
      </c>
      <c r="I6" s="8">
        <v>352100</v>
      </c>
      <c r="J6" s="8" t="s">
        <v>7</v>
      </c>
      <c r="O6" s="5">
        <v>0</v>
      </c>
      <c r="P6" s="8">
        <v>352100</v>
      </c>
      <c r="Q6" s="8" t="s">
        <v>7</v>
      </c>
    </row>
    <row r="7" spans="1:19" x14ac:dyDescent="0.3">
      <c r="A7" t="s">
        <v>9</v>
      </c>
      <c r="B7" s="6">
        <v>0</v>
      </c>
      <c r="H7" s="5"/>
    </row>
    <row r="8" spans="1:19" x14ac:dyDescent="0.3">
      <c r="A8" t="s">
        <v>10</v>
      </c>
      <c r="B8" s="6">
        <f>285000+26700</f>
        <v>311700</v>
      </c>
      <c r="H8" s="5"/>
      <c r="O8" s="10">
        <v>168550.64</v>
      </c>
      <c r="P8" s="8">
        <v>350200</v>
      </c>
      <c r="Q8" t="s">
        <v>11</v>
      </c>
    </row>
    <row r="9" spans="1:19" x14ac:dyDescent="0.3">
      <c r="A9" t="s">
        <v>12</v>
      </c>
      <c r="B9" s="6">
        <v>60000</v>
      </c>
      <c r="C9" s="7">
        <f>tulud!B49</f>
        <v>30000</v>
      </c>
      <c r="H9" s="7">
        <f>tulud!H49</f>
        <v>30000</v>
      </c>
      <c r="I9" s="8">
        <v>352100</v>
      </c>
      <c r="J9" s="8" t="s">
        <v>7</v>
      </c>
      <c r="O9" s="5">
        <v>0</v>
      </c>
      <c r="P9" s="8">
        <v>352100</v>
      </c>
      <c r="Q9" s="8" t="s">
        <v>7</v>
      </c>
    </row>
    <row r="10" spans="1:19" x14ac:dyDescent="0.3">
      <c r="B10" s="6"/>
      <c r="C10" s="7"/>
      <c r="H10" s="7"/>
      <c r="I10" s="8"/>
      <c r="J10" s="8"/>
    </row>
    <row r="11" spans="1:19" x14ac:dyDescent="0.3">
      <c r="A11" t="s">
        <v>13</v>
      </c>
      <c r="B11" s="6">
        <v>20000</v>
      </c>
      <c r="H11" s="5"/>
    </row>
    <row r="12" spans="1:19" x14ac:dyDescent="0.3">
      <c r="A12" t="s">
        <v>14</v>
      </c>
      <c r="B12" s="6">
        <f>5000+40000</f>
        <v>45000</v>
      </c>
      <c r="C12" s="7">
        <f>tulud!C42</f>
        <v>2259.46</v>
      </c>
      <c r="H12" s="7">
        <f>tulud!J42</f>
        <v>3625.38</v>
      </c>
      <c r="I12" s="8">
        <v>322190</v>
      </c>
      <c r="J12" s="8" t="s">
        <v>15</v>
      </c>
      <c r="O12" s="5">
        <f>tulud!Q42</f>
        <v>6952.69</v>
      </c>
      <c r="P12" s="8">
        <v>322190</v>
      </c>
      <c r="Q12" s="8" t="s">
        <v>15</v>
      </c>
    </row>
    <row r="13" spans="1:19" x14ac:dyDescent="0.3">
      <c r="B13" s="6"/>
      <c r="C13" s="7"/>
      <c r="H13" s="7">
        <v>30000</v>
      </c>
      <c r="I13" s="11">
        <v>350000</v>
      </c>
      <c r="J13" s="8" t="s">
        <v>16</v>
      </c>
      <c r="O13" s="5">
        <v>0</v>
      </c>
      <c r="P13" s="9">
        <v>350000</v>
      </c>
      <c r="Q13" s="8" t="s">
        <v>16</v>
      </c>
    </row>
    <row r="14" spans="1:19" x14ac:dyDescent="0.3">
      <c r="A14" t="s">
        <v>17</v>
      </c>
      <c r="B14" s="6">
        <v>15000</v>
      </c>
      <c r="C14" s="7">
        <v>9584.67</v>
      </c>
      <c r="D14" s="8">
        <v>322190</v>
      </c>
      <c r="E14" s="8" t="s">
        <v>18</v>
      </c>
      <c r="H14" s="7">
        <v>2130</v>
      </c>
      <c r="I14" s="8">
        <v>322190</v>
      </c>
      <c r="J14" s="8" t="s">
        <v>18</v>
      </c>
      <c r="O14" s="10">
        <v>1390</v>
      </c>
      <c r="P14" s="8">
        <v>322190</v>
      </c>
      <c r="Q14" s="8" t="s">
        <v>19</v>
      </c>
    </row>
    <row r="15" spans="1:19" x14ac:dyDescent="0.3">
      <c r="A15" t="s">
        <v>20</v>
      </c>
      <c r="B15" s="6">
        <f>140000+60000+30000</f>
        <v>230000</v>
      </c>
      <c r="H15" s="12">
        <v>22354</v>
      </c>
      <c r="I15" s="11">
        <v>350020</v>
      </c>
      <c r="J15" s="11" t="s">
        <v>21</v>
      </c>
      <c r="O15" s="10">
        <v>44000</v>
      </c>
      <c r="P15" s="13">
        <v>350020</v>
      </c>
      <c r="Q15" s="14" t="s">
        <v>22</v>
      </c>
      <c r="R15" t="s">
        <v>23</v>
      </c>
    </row>
    <row r="16" spans="1:19" x14ac:dyDescent="0.3">
      <c r="A16" t="s">
        <v>24</v>
      </c>
      <c r="B16" s="6">
        <v>455000</v>
      </c>
      <c r="C16" s="7">
        <v>94546.89</v>
      </c>
      <c r="D16" s="8">
        <v>322190</v>
      </c>
      <c r="H16" s="7">
        <v>80429.460000000006</v>
      </c>
      <c r="I16" s="8">
        <v>322190</v>
      </c>
      <c r="J16" s="15" t="s">
        <v>25</v>
      </c>
      <c r="L16" s="8"/>
      <c r="M16" s="8"/>
      <c r="O16" s="5">
        <v>38188.54</v>
      </c>
      <c r="P16" s="8">
        <v>322190</v>
      </c>
      <c r="Q16" s="15" t="s">
        <v>25</v>
      </c>
    </row>
    <row r="17" spans="1:20" x14ac:dyDescent="0.3">
      <c r="A17" t="s">
        <v>26</v>
      </c>
      <c r="B17" s="6">
        <f>SUM(tulud!B4:B16)</f>
        <v>2173649.75</v>
      </c>
      <c r="C17" s="16">
        <f>SUM(tulud!C4:C16)</f>
        <v>604120.27</v>
      </c>
      <c r="H17" s="17">
        <f>tulud!H4+tulud!H5+tulud!H6+tulud!H9+tulud!H12+tulud!H13+tulud!H14+tulud!H15+tulud!H16</f>
        <v>613889.77</v>
      </c>
      <c r="O17" s="18">
        <f>tulud!O4+tulud!O5+tulud!O6+tulud!O9+tulud!O12+tulud!O13+tulud!O14+tulud!O15+tulud!O16+tulud!O8</f>
        <v>284521.54000000004</v>
      </c>
      <c r="P17" s="8" t="s">
        <v>26</v>
      </c>
    </row>
    <row r="18" spans="1:20" x14ac:dyDescent="0.3">
      <c r="B18" s="6"/>
      <c r="H18" s="5"/>
    </row>
    <row r="19" spans="1:20" x14ac:dyDescent="0.3">
      <c r="A19" t="s">
        <v>27</v>
      </c>
      <c r="B19" s="6">
        <f>kulud!C430</f>
        <v>2090831.0797241381</v>
      </c>
      <c r="H19" s="5"/>
    </row>
    <row r="20" spans="1:20" x14ac:dyDescent="0.3">
      <c r="A20" t="s">
        <v>28</v>
      </c>
      <c r="B20" s="6">
        <f>tulud!B17-tulud!B19</f>
        <v>82818.670275861863</v>
      </c>
      <c r="H20" s="5"/>
    </row>
    <row r="21" spans="1:20" x14ac:dyDescent="0.3">
      <c r="C21" s="19">
        <v>322130</v>
      </c>
      <c r="D21" s="20">
        <v>63733.75</v>
      </c>
      <c r="H21" s="5"/>
    </row>
    <row r="22" spans="1:20" x14ac:dyDescent="0.3">
      <c r="D22" s="21" t="s">
        <v>29</v>
      </c>
      <c r="E22" s="22" t="s">
        <v>30</v>
      </c>
      <c r="F22" s="23" t="s">
        <v>31</v>
      </c>
      <c r="H22" s="5"/>
      <c r="J22" s="24"/>
      <c r="K22" s="21" t="s">
        <v>29</v>
      </c>
      <c r="L22" s="22" t="s">
        <v>30</v>
      </c>
      <c r="M22" s="23" t="s">
        <v>31</v>
      </c>
      <c r="O22" s="25"/>
      <c r="Q22" s="24"/>
      <c r="R22" s="21" t="s">
        <v>29</v>
      </c>
      <c r="S22" s="22" t="s">
        <v>30</v>
      </c>
      <c r="T22" s="23" t="s">
        <v>31</v>
      </c>
    </row>
    <row r="23" spans="1:20" x14ac:dyDescent="0.3">
      <c r="C23" s="26">
        <v>322190</v>
      </c>
      <c r="D23" s="27">
        <v>106391.02</v>
      </c>
      <c r="E23" s="28">
        <v>94546.89</v>
      </c>
      <c r="F23" s="23">
        <f>tulud!D23-tulud!E23</f>
        <v>11844.130000000005</v>
      </c>
      <c r="H23" s="5"/>
      <c r="J23" s="29">
        <v>322190</v>
      </c>
      <c r="K23" s="27">
        <v>86184.84</v>
      </c>
      <c r="L23" s="28">
        <v>80429.460000000006</v>
      </c>
      <c r="M23" s="23">
        <f>tulud!K23-tulud!L23</f>
        <v>5755.3799999999901</v>
      </c>
      <c r="O23" s="25"/>
      <c r="Q23" s="29">
        <v>322190</v>
      </c>
      <c r="R23" s="27">
        <v>284521.53999999998</v>
      </c>
      <c r="S23" s="28">
        <v>38188.54</v>
      </c>
      <c r="T23" s="23">
        <f>tulud!R23-tulud!S23</f>
        <v>246332.99999999997</v>
      </c>
    </row>
    <row r="24" spans="1:20" x14ac:dyDescent="0.3">
      <c r="H24" s="5"/>
      <c r="O24" s="25"/>
    </row>
    <row r="25" spans="1:20" x14ac:dyDescent="0.3">
      <c r="C25" s="7">
        <v>184.99</v>
      </c>
      <c r="D25" s="8">
        <v>322190</v>
      </c>
      <c r="E25" s="8" t="s">
        <v>32</v>
      </c>
      <c r="F25" t="s">
        <v>33</v>
      </c>
      <c r="H25" s="5"/>
      <c r="J25" s="20">
        <v>55</v>
      </c>
      <c r="K25" s="8">
        <v>322190</v>
      </c>
      <c r="L25" s="8" t="s">
        <v>32</v>
      </c>
      <c r="M25" t="s">
        <v>33</v>
      </c>
      <c r="O25" s="25"/>
      <c r="Q25" s="20">
        <v>0</v>
      </c>
      <c r="R25" s="8">
        <v>322190</v>
      </c>
      <c r="S25" s="8" t="s">
        <v>32</v>
      </c>
      <c r="T25" t="s">
        <v>33</v>
      </c>
    </row>
    <row r="26" spans="1:20" x14ac:dyDescent="0.3">
      <c r="C26" s="7">
        <v>250.67</v>
      </c>
      <c r="D26" s="8">
        <v>322190</v>
      </c>
      <c r="E26" s="8" t="s">
        <v>34</v>
      </c>
      <c r="F26" t="s">
        <v>35</v>
      </c>
      <c r="H26" s="5"/>
      <c r="J26" s="20">
        <v>0</v>
      </c>
      <c r="K26" s="8">
        <v>322190</v>
      </c>
      <c r="L26" s="8" t="s">
        <v>34</v>
      </c>
      <c r="M26" t="s">
        <v>35</v>
      </c>
      <c r="O26" s="25"/>
      <c r="Q26" s="20">
        <v>73.33</v>
      </c>
      <c r="R26" s="8">
        <v>322190</v>
      </c>
      <c r="S26" s="8" t="s">
        <v>34</v>
      </c>
      <c r="T26" t="s">
        <v>35</v>
      </c>
    </row>
    <row r="27" spans="1:20" x14ac:dyDescent="0.3">
      <c r="C27" s="7">
        <v>100</v>
      </c>
      <c r="D27" s="8">
        <v>322190</v>
      </c>
      <c r="E27" s="8" t="s">
        <v>36</v>
      </c>
      <c r="F27" t="s">
        <v>37</v>
      </c>
      <c r="H27" s="5"/>
      <c r="J27" s="20">
        <v>0</v>
      </c>
      <c r="K27" s="8">
        <v>322190</v>
      </c>
      <c r="L27" s="8" t="s">
        <v>36</v>
      </c>
      <c r="M27" t="s">
        <v>37</v>
      </c>
      <c r="O27" s="25"/>
      <c r="Q27" s="20">
        <v>0</v>
      </c>
      <c r="R27" s="8">
        <v>322190</v>
      </c>
      <c r="S27" s="8" t="s">
        <v>36</v>
      </c>
      <c r="T27" t="s">
        <v>37</v>
      </c>
    </row>
    <row r="28" spans="1:20" x14ac:dyDescent="0.3">
      <c r="C28" s="7">
        <v>678.02</v>
      </c>
      <c r="D28" s="8">
        <v>322190</v>
      </c>
      <c r="E28" s="8" t="s">
        <v>38</v>
      </c>
      <c r="F28" t="s">
        <v>39</v>
      </c>
      <c r="H28" s="5"/>
      <c r="J28" s="20">
        <v>0</v>
      </c>
      <c r="K28" s="8">
        <v>322190</v>
      </c>
      <c r="L28" s="8" t="s">
        <v>38</v>
      </c>
      <c r="M28" t="s">
        <v>39</v>
      </c>
      <c r="O28" s="25"/>
      <c r="Q28" s="20">
        <v>0</v>
      </c>
      <c r="R28" s="8">
        <v>322190</v>
      </c>
      <c r="S28" s="8" t="s">
        <v>38</v>
      </c>
      <c r="T28" t="s">
        <v>39</v>
      </c>
    </row>
    <row r="29" spans="1:20" x14ac:dyDescent="0.3">
      <c r="C29" s="7">
        <v>696.67</v>
      </c>
      <c r="D29" s="8">
        <v>322190</v>
      </c>
      <c r="E29" s="8" t="s">
        <v>40</v>
      </c>
      <c r="F29" t="s">
        <v>41</v>
      </c>
      <c r="H29" s="5"/>
      <c r="J29" s="20">
        <v>400.41</v>
      </c>
      <c r="K29" s="8">
        <v>322190</v>
      </c>
      <c r="L29" s="8" t="s">
        <v>40</v>
      </c>
      <c r="M29" t="s">
        <v>41</v>
      </c>
      <c r="O29" s="25"/>
      <c r="Q29" s="20">
        <v>389.66</v>
      </c>
      <c r="R29" s="8">
        <v>322190</v>
      </c>
      <c r="S29" s="8" t="s">
        <v>40</v>
      </c>
      <c r="T29" t="s">
        <v>41</v>
      </c>
    </row>
    <row r="30" spans="1:20" x14ac:dyDescent="0.3">
      <c r="C30" s="7">
        <v>9.17</v>
      </c>
      <c r="D30" s="8">
        <v>322190</v>
      </c>
      <c r="E30" s="8" t="s">
        <v>42</v>
      </c>
      <c r="F30" t="s">
        <v>43</v>
      </c>
      <c r="H30" s="5"/>
      <c r="J30" s="20">
        <v>0</v>
      </c>
      <c r="K30" s="8">
        <v>322190</v>
      </c>
      <c r="L30" s="8" t="s">
        <v>42</v>
      </c>
      <c r="M30" t="s">
        <v>43</v>
      </c>
      <c r="O30" s="25"/>
      <c r="Q30" s="20">
        <v>16.5</v>
      </c>
      <c r="R30" s="8">
        <v>322190</v>
      </c>
      <c r="S30" s="8" t="s">
        <v>42</v>
      </c>
      <c r="T30" t="s">
        <v>43</v>
      </c>
    </row>
    <row r="31" spans="1:20" x14ac:dyDescent="0.3">
      <c r="C31" s="7">
        <v>17.77</v>
      </c>
      <c r="D31" s="8">
        <v>322190</v>
      </c>
      <c r="E31" s="8" t="s">
        <v>44</v>
      </c>
      <c r="F31" t="s">
        <v>45</v>
      </c>
      <c r="H31" s="5"/>
      <c r="J31" s="20">
        <v>52.09</v>
      </c>
      <c r="K31" s="8">
        <v>322190</v>
      </c>
      <c r="L31" s="8" t="s">
        <v>44</v>
      </c>
      <c r="M31" t="s">
        <v>45</v>
      </c>
      <c r="O31" s="25"/>
      <c r="Q31" s="20">
        <v>6.17</v>
      </c>
      <c r="R31" s="8">
        <v>322190</v>
      </c>
      <c r="S31" s="8" t="s">
        <v>44</v>
      </c>
      <c r="T31" t="s">
        <v>45</v>
      </c>
    </row>
    <row r="32" spans="1:20" x14ac:dyDescent="0.3">
      <c r="C32" s="7">
        <v>8</v>
      </c>
      <c r="D32" s="8">
        <v>322190</v>
      </c>
      <c r="E32" s="8" t="s">
        <v>46</v>
      </c>
      <c r="F32" t="s">
        <v>47</v>
      </c>
      <c r="H32" s="5"/>
      <c r="J32" s="20">
        <v>0</v>
      </c>
      <c r="K32" s="8">
        <v>322190</v>
      </c>
      <c r="L32" s="8" t="s">
        <v>46</v>
      </c>
      <c r="M32" t="s">
        <v>47</v>
      </c>
      <c r="O32" s="25"/>
      <c r="Q32" s="20">
        <v>0</v>
      </c>
      <c r="R32" s="8">
        <v>322190</v>
      </c>
      <c r="S32" s="8" t="s">
        <v>46</v>
      </c>
      <c r="T32" t="s">
        <v>47</v>
      </c>
    </row>
    <row r="33" spans="1:20" x14ac:dyDescent="0.3">
      <c r="C33" s="7">
        <v>41.67</v>
      </c>
      <c r="D33" s="8">
        <v>322190</v>
      </c>
      <c r="E33" s="8" t="s">
        <v>48</v>
      </c>
      <c r="F33" t="s">
        <v>49</v>
      </c>
      <c r="H33" s="5"/>
      <c r="J33" s="20">
        <v>50.83</v>
      </c>
      <c r="K33" s="8">
        <v>322190</v>
      </c>
      <c r="L33" s="8" t="s">
        <v>48</v>
      </c>
      <c r="M33" t="s">
        <v>49</v>
      </c>
      <c r="O33" s="25"/>
      <c r="Q33" s="20">
        <v>0</v>
      </c>
      <c r="R33" s="8">
        <v>322190</v>
      </c>
      <c r="S33" s="8" t="s">
        <v>48</v>
      </c>
      <c r="T33" t="s">
        <v>49</v>
      </c>
    </row>
    <row r="34" spans="1:20" x14ac:dyDescent="0.3">
      <c r="C34" s="7">
        <v>12.5</v>
      </c>
      <c r="D34" s="8">
        <v>322190</v>
      </c>
      <c r="E34" s="8" t="s">
        <v>50</v>
      </c>
      <c r="F34" t="s">
        <v>51</v>
      </c>
      <c r="H34" s="5"/>
      <c r="J34" s="20">
        <v>0</v>
      </c>
      <c r="K34" s="8">
        <v>322190</v>
      </c>
      <c r="L34" s="8" t="s">
        <v>50</v>
      </c>
      <c r="M34" t="s">
        <v>51</v>
      </c>
      <c r="O34" s="25"/>
      <c r="Q34" s="20">
        <v>0</v>
      </c>
      <c r="R34" s="8">
        <v>322190</v>
      </c>
      <c r="S34" s="8" t="s">
        <v>50</v>
      </c>
      <c r="T34" t="s">
        <v>51</v>
      </c>
    </row>
    <row r="35" spans="1:20" x14ac:dyDescent="0.3">
      <c r="C35" s="7">
        <v>260</v>
      </c>
      <c r="D35" s="8">
        <v>322190</v>
      </c>
      <c r="E35" s="8" t="s">
        <v>52</v>
      </c>
      <c r="F35" t="s">
        <v>53</v>
      </c>
      <c r="H35" s="5"/>
      <c r="J35" s="20">
        <v>780</v>
      </c>
      <c r="K35" s="8">
        <v>322190</v>
      </c>
      <c r="L35" s="8" t="s">
        <v>52</v>
      </c>
      <c r="M35" t="s">
        <v>53</v>
      </c>
      <c r="O35" s="25"/>
      <c r="Q35" s="20">
        <v>0</v>
      </c>
      <c r="R35" s="8">
        <v>322190</v>
      </c>
      <c r="S35" s="8" t="s">
        <v>52</v>
      </c>
      <c r="T35" t="s">
        <v>53</v>
      </c>
    </row>
    <row r="36" spans="1:20" x14ac:dyDescent="0.3">
      <c r="C36" s="7">
        <v>0</v>
      </c>
      <c r="D36" s="8">
        <v>322190</v>
      </c>
      <c r="E36" s="8" t="s">
        <v>54</v>
      </c>
      <c r="F36" t="s">
        <v>55</v>
      </c>
      <c r="H36" s="5"/>
      <c r="J36" s="20">
        <v>187</v>
      </c>
      <c r="K36" s="8">
        <v>322190</v>
      </c>
      <c r="L36" s="8" t="s">
        <v>54</v>
      </c>
      <c r="M36" t="s">
        <v>55</v>
      </c>
      <c r="O36" s="25"/>
      <c r="Q36" s="20">
        <v>0</v>
      </c>
      <c r="R36" s="8">
        <v>322190</v>
      </c>
      <c r="S36" s="8" t="s">
        <v>54</v>
      </c>
      <c r="T36" t="s">
        <v>55</v>
      </c>
    </row>
    <row r="37" spans="1:20" x14ac:dyDescent="0.3">
      <c r="C37" s="7">
        <v>0</v>
      </c>
      <c r="D37" s="8">
        <v>322190</v>
      </c>
      <c r="E37" s="8" t="s">
        <v>56</v>
      </c>
      <c r="F37" t="s">
        <v>57</v>
      </c>
      <c r="H37" s="5"/>
      <c r="J37" s="20">
        <v>91.66</v>
      </c>
      <c r="K37" s="8">
        <v>322190</v>
      </c>
      <c r="L37" s="8" t="s">
        <v>56</v>
      </c>
      <c r="M37" t="s">
        <v>57</v>
      </c>
      <c r="O37" s="25"/>
      <c r="Q37" s="20">
        <v>195</v>
      </c>
      <c r="R37" s="8">
        <v>322190</v>
      </c>
      <c r="S37" s="8" t="s">
        <v>56</v>
      </c>
      <c r="T37" t="s">
        <v>57</v>
      </c>
    </row>
    <row r="38" spans="1:20" x14ac:dyDescent="0.3">
      <c r="C38" s="7">
        <v>0</v>
      </c>
      <c r="D38" s="8">
        <v>322190</v>
      </c>
      <c r="E38" s="8" t="s">
        <v>58</v>
      </c>
      <c r="F38" t="s">
        <v>59</v>
      </c>
      <c r="H38" s="5"/>
      <c r="J38" s="20">
        <v>10.83</v>
      </c>
      <c r="K38" s="8">
        <v>322190</v>
      </c>
      <c r="L38" s="8" t="s">
        <v>58</v>
      </c>
      <c r="M38" t="s">
        <v>59</v>
      </c>
      <c r="O38" s="25"/>
      <c r="Q38" s="20">
        <v>0</v>
      </c>
      <c r="R38" s="8">
        <v>322190</v>
      </c>
      <c r="S38" s="8" t="s">
        <v>58</v>
      </c>
      <c r="T38" t="s">
        <v>59</v>
      </c>
    </row>
    <row r="39" spans="1:20" x14ac:dyDescent="0.3">
      <c r="C39" s="7">
        <v>0</v>
      </c>
      <c r="D39" s="8">
        <v>322190</v>
      </c>
      <c r="E39" s="8" t="s">
        <v>60</v>
      </c>
      <c r="F39" t="s">
        <v>61</v>
      </c>
      <c r="H39" s="5"/>
      <c r="J39" s="20">
        <v>1917.56</v>
      </c>
      <c r="K39" s="8">
        <v>322190</v>
      </c>
      <c r="L39" s="8" t="s">
        <v>60</v>
      </c>
      <c r="M39" t="s">
        <v>61</v>
      </c>
      <c r="O39" s="25"/>
      <c r="Q39" s="20">
        <v>0</v>
      </c>
      <c r="R39" s="8">
        <v>322190</v>
      </c>
      <c r="S39" s="8" t="s">
        <v>60</v>
      </c>
      <c r="T39" t="s">
        <v>61</v>
      </c>
    </row>
    <row r="40" spans="1:20" x14ac:dyDescent="0.3">
      <c r="C40" s="7">
        <v>0</v>
      </c>
      <c r="D40" s="8">
        <v>322190</v>
      </c>
      <c r="E40" s="8" t="s">
        <v>62</v>
      </c>
      <c r="F40" t="s">
        <v>63</v>
      </c>
      <c r="H40" s="5"/>
      <c r="J40" s="20">
        <v>80</v>
      </c>
      <c r="K40" s="8">
        <v>322190</v>
      </c>
      <c r="L40" s="8" t="s">
        <v>62</v>
      </c>
      <c r="M40" t="s">
        <v>63</v>
      </c>
      <c r="O40" s="25"/>
      <c r="Q40" s="20">
        <v>0</v>
      </c>
      <c r="R40" s="8">
        <v>322190</v>
      </c>
      <c r="S40" s="8" t="s">
        <v>62</v>
      </c>
      <c r="T40" t="s">
        <v>63</v>
      </c>
    </row>
    <row r="41" spans="1:20" x14ac:dyDescent="0.3">
      <c r="C41" s="7"/>
      <c r="D41" s="8"/>
      <c r="E41" s="8"/>
      <c r="H41" s="5"/>
      <c r="J41" s="20"/>
      <c r="K41" s="8"/>
      <c r="L41" s="8"/>
      <c r="O41" s="25"/>
      <c r="Q41" s="20">
        <v>6272.03</v>
      </c>
      <c r="R41" s="8">
        <v>322190</v>
      </c>
      <c r="S41" s="8" t="s">
        <v>64</v>
      </c>
      <c r="T41" t="s">
        <v>65</v>
      </c>
    </row>
    <row r="42" spans="1:20" x14ac:dyDescent="0.3">
      <c r="B42" s="30" t="s">
        <v>26</v>
      </c>
      <c r="C42" s="16">
        <f>tulud!C25+tulud!C26+tulud!C27+tulud!C28+tulud!C29+tulud!C30+tulud!C31+tulud!C32+tulud!C33+tulud!C34+tulud!C35+tulud!C36+tulud!C37+tulud!C38+tulud!C39+tulud!C40</f>
        <v>2259.46</v>
      </c>
      <c r="H42" s="5"/>
      <c r="I42" s="30" t="s">
        <v>26</v>
      </c>
      <c r="J42" s="31">
        <f>tulud!J25+tulud!J26+tulud!J27+tulud!J28+tulud!J29+tulud!J30+tulud!J31+tulud!J32+tulud!J33+tulud!J34+tulud!J35+tulud!J36+tulud!J37+tulud!J38+tulud!J39+tulud!J40</f>
        <v>3625.38</v>
      </c>
      <c r="O42" s="25"/>
      <c r="P42" s="30" t="s">
        <v>26</v>
      </c>
      <c r="Q42" s="31">
        <f>tulud!Q25+tulud!Q26+tulud!Q27+tulud!Q28+tulud!Q29+tulud!Q30+tulud!Q31+tulud!Q32+tulud!Q33+tulud!Q34+tulud!Q35+tulud!Q36+tulud!Q37+tulud!Q38+tulud!Q39+tulud!Q40+tulud!Q41</f>
        <v>6952.69</v>
      </c>
    </row>
    <row r="43" spans="1:20" x14ac:dyDescent="0.3">
      <c r="B43" s="30" t="s">
        <v>66</v>
      </c>
      <c r="C43" s="16">
        <f>tulud!C42+tulud!C14</f>
        <v>11844.130000000001</v>
      </c>
      <c r="H43" s="5"/>
    </row>
    <row r="44" spans="1:20" x14ac:dyDescent="0.3">
      <c r="H44" s="5"/>
    </row>
    <row r="45" spans="1:20" x14ac:dyDescent="0.3">
      <c r="A45" s="32" t="s">
        <v>67</v>
      </c>
      <c r="B45" s="33" t="s">
        <v>68</v>
      </c>
      <c r="C45" s="34">
        <v>433996</v>
      </c>
      <c r="D45" s="8">
        <v>352100</v>
      </c>
      <c r="E45" t="s">
        <v>69</v>
      </c>
      <c r="H45" s="35" t="s">
        <v>68</v>
      </c>
      <c r="I45" s="36">
        <v>433995</v>
      </c>
      <c r="J45" s="8">
        <v>352100</v>
      </c>
      <c r="K45" t="s">
        <v>69</v>
      </c>
    </row>
    <row r="46" spans="1:20" x14ac:dyDescent="0.3">
      <c r="B46" s="24">
        <f>tulud!C46/2</f>
        <v>338461.5</v>
      </c>
      <c r="C46" s="37">
        <v>676923</v>
      </c>
      <c r="D46" t="s">
        <v>70</v>
      </c>
      <c r="H46" s="25">
        <f>tulud!I46/2</f>
        <v>338461.5</v>
      </c>
      <c r="I46">
        <v>676923</v>
      </c>
      <c r="J46" t="s">
        <v>70</v>
      </c>
    </row>
    <row r="47" spans="1:20" x14ac:dyDescent="0.3">
      <c r="B47" s="24">
        <f>tulud!C47/2</f>
        <v>52184</v>
      </c>
      <c r="C47" s="37">
        <v>104368</v>
      </c>
      <c r="D47" t="s">
        <v>71</v>
      </c>
      <c r="H47" s="25">
        <f>tulud!I47/2</f>
        <v>52184</v>
      </c>
      <c r="I47">
        <v>104368</v>
      </c>
      <c r="J47" t="s">
        <v>71</v>
      </c>
    </row>
    <row r="48" spans="1:20" x14ac:dyDescent="0.3">
      <c r="B48" s="24">
        <f>tulud!C48/2</f>
        <v>13350</v>
      </c>
      <c r="C48" s="37">
        <v>26700</v>
      </c>
      <c r="D48" t="s">
        <v>72</v>
      </c>
      <c r="H48" s="25">
        <f>tulud!I48/2</f>
        <v>13350</v>
      </c>
      <c r="I48">
        <v>26700</v>
      </c>
      <c r="J48" t="s">
        <v>72</v>
      </c>
    </row>
    <row r="49" spans="2:12" x14ac:dyDescent="0.3">
      <c r="B49" s="24">
        <f>tulud!C49/2</f>
        <v>30000</v>
      </c>
      <c r="C49" s="37">
        <v>60000</v>
      </c>
      <c r="D49" t="s">
        <v>73</v>
      </c>
      <c r="H49" s="25">
        <f>tulud!I49/2</f>
        <v>30000</v>
      </c>
      <c r="I49">
        <v>60000</v>
      </c>
      <c r="J49" t="s">
        <v>73</v>
      </c>
    </row>
    <row r="50" spans="2:12" x14ac:dyDescent="0.3">
      <c r="B50" s="38">
        <f>SUM(tulud!B46:B49)</f>
        <v>433995.5</v>
      </c>
      <c r="C50" s="39">
        <f>tulud!C46+tulud!C47+tulud!C48+tulud!C49</f>
        <v>867991</v>
      </c>
      <c r="D50" s="8" t="s">
        <v>74</v>
      </c>
      <c r="E50" s="31">
        <f>tulud!C50/2</f>
        <v>433995.5</v>
      </c>
      <c r="F50" s="8">
        <v>352100</v>
      </c>
      <c r="H50" s="16">
        <f>SUM(tulud!H46:H49)</f>
        <v>433995.5</v>
      </c>
      <c r="I50" s="40">
        <f>SUM(tulud!I46:I49)</f>
        <v>867991</v>
      </c>
      <c r="J50" s="8" t="s">
        <v>74</v>
      </c>
      <c r="K50" s="31">
        <f>tulud!I50/2</f>
        <v>433995.5</v>
      </c>
      <c r="L50" s="8">
        <v>352100</v>
      </c>
    </row>
  </sheetData>
  <mergeCells count="3">
    <mergeCell ref="C1:G1"/>
    <mergeCell ref="H1:K1"/>
    <mergeCell ref="O1:S1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0"/>
  <sheetViews>
    <sheetView zoomScale="85" zoomScaleNormal="85" workbookViewId="0">
      <selection activeCell="S164" sqref="S164"/>
    </sheetView>
  </sheetViews>
  <sheetFormatPr defaultColWidth="8.796875" defaultRowHeight="15.6" x14ac:dyDescent="0.3"/>
  <cols>
    <col min="1" max="1" width="37.69921875" customWidth="1"/>
    <col min="2" max="2" width="28.19921875" style="41" customWidth="1"/>
    <col min="3" max="3" width="10.69921875" customWidth="1"/>
    <col min="4" max="4" width="10.5" style="24" hidden="1" customWidth="1"/>
    <col min="5" max="10" width="10.5" hidden="1" customWidth="1"/>
    <col min="11" max="11" width="10.5" style="42" hidden="1" customWidth="1"/>
    <col min="12" max="12" width="10.5" style="24" hidden="1" customWidth="1"/>
    <col min="13" max="17" width="10.5" hidden="1" customWidth="1"/>
    <col min="18" max="18" width="10.5" style="42" hidden="1" customWidth="1"/>
    <col min="19" max="19" width="14.19921875" style="1" customWidth="1"/>
    <col min="20" max="1025" width="8.5" customWidth="1"/>
  </cols>
  <sheetData>
    <row r="1" spans="1:21" s="3" customFormat="1" x14ac:dyDescent="0.3">
      <c r="B1" s="43" t="s">
        <v>0</v>
      </c>
      <c r="C1" s="377" t="s">
        <v>75</v>
      </c>
      <c r="D1" s="377"/>
      <c r="E1" s="377"/>
      <c r="F1" s="377"/>
      <c r="G1" s="377"/>
      <c r="H1" s="377"/>
      <c r="I1" s="377"/>
      <c r="J1" s="377"/>
      <c r="K1" s="377"/>
      <c r="L1" s="378" t="s">
        <v>76</v>
      </c>
      <c r="M1" s="378"/>
      <c r="N1" s="378"/>
      <c r="O1" s="378"/>
      <c r="P1" s="378"/>
      <c r="Q1" s="44"/>
      <c r="R1" s="45"/>
      <c r="S1" s="46" t="s">
        <v>77</v>
      </c>
    </row>
    <row r="2" spans="1:21" s="8" customFormat="1" x14ac:dyDescent="0.3">
      <c r="A2" s="40" t="s">
        <v>78</v>
      </c>
      <c r="B2" s="47" t="s">
        <v>79</v>
      </c>
      <c r="C2" s="48" t="s">
        <v>80</v>
      </c>
      <c r="D2" s="49"/>
      <c r="K2" s="50"/>
      <c r="L2" s="49"/>
      <c r="R2" s="50"/>
      <c r="S2" s="19"/>
    </row>
    <row r="3" spans="1:21" x14ac:dyDescent="0.3">
      <c r="A3" s="2"/>
      <c r="B3" s="51"/>
    </row>
    <row r="4" spans="1:21" x14ac:dyDescent="0.3">
      <c r="A4" s="2" t="s">
        <v>81</v>
      </c>
      <c r="B4" s="51" t="s">
        <v>82</v>
      </c>
      <c r="C4" s="6">
        <v>0</v>
      </c>
    </row>
    <row r="5" spans="1:21" x14ac:dyDescent="0.3">
      <c r="A5" s="2"/>
      <c r="B5" s="51" t="s">
        <v>83</v>
      </c>
      <c r="C5" s="6">
        <f>160*piletimüük!C2</f>
        <v>640</v>
      </c>
      <c r="L5" s="52">
        <v>920</v>
      </c>
      <c r="M5" s="53">
        <v>552530</v>
      </c>
      <c r="N5" s="54" t="s">
        <v>84</v>
      </c>
      <c r="O5" s="54"/>
      <c r="P5" s="54"/>
    </row>
    <row r="6" spans="1:21" x14ac:dyDescent="0.3">
      <c r="A6" s="55" t="s">
        <v>85</v>
      </c>
      <c r="B6" s="51" t="s">
        <v>86</v>
      </c>
      <c r="C6" s="6">
        <v>0</v>
      </c>
    </row>
    <row r="7" spans="1:21" x14ac:dyDescent="0.3">
      <c r="A7" s="2"/>
      <c r="B7" s="51" t="s">
        <v>87</v>
      </c>
      <c r="C7" s="6">
        <f>100*piletimüük!C2</f>
        <v>400</v>
      </c>
    </row>
    <row r="8" spans="1:21" x14ac:dyDescent="0.3">
      <c r="A8" s="2"/>
      <c r="B8" s="56" t="s">
        <v>88</v>
      </c>
      <c r="D8" s="57">
        <v>1977.665</v>
      </c>
      <c r="E8" s="8">
        <v>552530</v>
      </c>
      <c r="M8" s="11"/>
      <c r="N8" s="58"/>
    </row>
    <row r="9" spans="1:21" x14ac:dyDescent="0.3">
      <c r="A9" s="2"/>
      <c r="B9" s="56" t="s">
        <v>89</v>
      </c>
      <c r="D9" s="57">
        <v>370</v>
      </c>
      <c r="E9" s="8">
        <v>500500</v>
      </c>
      <c r="L9" s="57">
        <v>185</v>
      </c>
      <c r="M9" s="8">
        <v>500500</v>
      </c>
      <c r="N9" s="59" t="s">
        <v>85</v>
      </c>
      <c r="T9" s="8"/>
      <c r="U9" s="59"/>
    </row>
    <row r="10" spans="1:21" x14ac:dyDescent="0.3">
      <c r="A10" s="2"/>
      <c r="B10" s="56" t="s">
        <v>90</v>
      </c>
      <c r="D10" s="57">
        <v>122.1</v>
      </c>
      <c r="E10" s="8">
        <v>506000</v>
      </c>
      <c r="L10" s="57">
        <v>61.05</v>
      </c>
      <c r="M10" s="8">
        <v>506000</v>
      </c>
      <c r="N10" t="s">
        <v>85</v>
      </c>
      <c r="T10" s="8"/>
    </row>
    <row r="11" spans="1:21" x14ac:dyDescent="0.3">
      <c r="A11" s="2"/>
      <c r="B11" s="56" t="s">
        <v>91</v>
      </c>
      <c r="D11" s="57">
        <v>2.96</v>
      </c>
      <c r="E11" s="8">
        <v>506040</v>
      </c>
      <c r="L11" s="57">
        <v>1.48</v>
      </c>
      <c r="M11" s="8">
        <v>506040</v>
      </c>
      <c r="N11" t="s">
        <v>85</v>
      </c>
      <c r="T11" s="8"/>
    </row>
    <row r="12" spans="1:21" x14ac:dyDescent="0.3">
      <c r="A12" s="2"/>
      <c r="B12" s="51" t="s">
        <v>92</v>
      </c>
      <c r="C12" s="6">
        <v>0</v>
      </c>
    </row>
    <row r="13" spans="1:21" x14ac:dyDescent="0.3">
      <c r="A13" s="2"/>
      <c r="B13" s="51" t="s">
        <v>93</v>
      </c>
      <c r="C13" s="6">
        <v>1000</v>
      </c>
    </row>
    <row r="14" spans="1:21" x14ac:dyDescent="0.3">
      <c r="A14" s="2"/>
      <c r="B14" s="51" t="s">
        <v>94</v>
      </c>
      <c r="C14" s="6">
        <v>0</v>
      </c>
    </row>
    <row r="15" spans="1:21" x14ac:dyDescent="0.3">
      <c r="A15" s="2"/>
      <c r="B15" s="51" t="s">
        <v>95</v>
      </c>
      <c r="C15" s="6">
        <f>piletimüük!E2/100*6</f>
        <v>274.56</v>
      </c>
      <c r="S15" s="5">
        <v>72.88</v>
      </c>
      <c r="T15" s="8">
        <v>552510</v>
      </c>
      <c r="U15" s="60" t="s">
        <v>96</v>
      </c>
    </row>
    <row r="16" spans="1:21" x14ac:dyDescent="0.3">
      <c r="A16" s="2"/>
      <c r="B16" s="51" t="s">
        <v>97</v>
      </c>
      <c r="C16" s="6">
        <f>piletimüük!E2/100*2</f>
        <v>91.52</v>
      </c>
    </row>
    <row r="17" spans="1:21" s="65" customFormat="1" x14ac:dyDescent="0.3">
      <c r="A17" s="61"/>
      <c r="B17" s="62"/>
      <c r="C17" s="63">
        <f>SUM(kulud!C4:C16)</f>
        <v>2406.08</v>
      </c>
      <c r="D17" s="64">
        <f>kulud!D8+kulud!D9+kulud!D10+kulud!D11</f>
        <v>2472.7249999999999</v>
      </c>
      <c r="K17" s="66"/>
      <c r="L17" s="64">
        <f>kulud!L5+kulud!L9+kulud!L10+kulud!L11</f>
        <v>1167.53</v>
      </c>
      <c r="M17" s="67" t="s">
        <v>85</v>
      </c>
      <c r="R17" s="66"/>
      <c r="S17" s="68">
        <f>kulud!S15</f>
        <v>72.88</v>
      </c>
      <c r="T17" s="65" t="s">
        <v>85</v>
      </c>
    </row>
    <row r="18" spans="1:21" s="8" customFormat="1" x14ac:dyDescent="0.3">
      <c r="A18" s="40" t="s">
        <v>98</v>
      </c>
      <c r="B18" s="51" t="s">
        <v>82</v>
      </c>
      <c r="C18" s="48"/>
      <c r="D18" s="38"/>
      <c r="K18" s="50"/>
      <c r="L18" s="49"/>
      <c r="R18" s="50"/>
      <c r="S18" s="19"/>
    </row>
    <row r="19" spans="1:21" s="8" customFormat="1" x14ac:dyDescent="0.3">
      <c r="A19" s="40"/>
      <c r="B19" s="51" t="s">
        <v>83</v>
      </c>
      <c r="C19" s="48"/>
      <c r="D19" s="38"/>
      <c r="K19" s="50"/>
      <c r="L19" s="49"/>
      <c r="R19" s="50"/>
      <c r="S19" s="19"/>
    </row>
    <row r="20" spans="1:21" x14ac:dyDescent="0.3">
      <c r="A20" s="55" t="s">
        <v>85</v>
      </c>
      <c r="B20" s="51" t="s">
        <v>86</v>
      </c>
      <c r="C20" s="48"/>
      <c r="D20" s="38"/>
      <c r="K20" s="50"/>
      <c r="L20" s="49"/>
    </row>
    <row r="21" spans="1:21" x14ac:dyDescent="0.3">
      <c r="A21" s="40"/>
      <c r="B21" s="51" t="s">
        <v>87</v>
      </c>
      <c r="C21" s="48"/>
      <c r="D21" s="38"/>
      <c r="K21" s="50"/>
      <c r="L21" s="49"/>
    </row>
    <row r="22" spans="1:21" x14ac:dyDescent="0.3">
      <c r="A22" s="40"/>
      <c r="B22" s="56" t="s">
        <v>88</v>
      </c>
      <c r="C22" s="48"/>
      <c r="D22" s="38"/>
      <c r="K22" s="50"/>
      <c r="L22" s="49"/>
    </row>
    <row r="23" spans="1:21" x14ac:dyDescent="0.3">
      <c r="A23" s="40"/>
      <c r="B23" s="56" t="s">
        <v>89</v>
      </c>
      <c r="C23" s="48"/>
      <c r="D23" s="38"/>
      <c r="K23" s="50"/>
      <c r="L23" s="49"/>
    </row>
    <row r="24" spans="1:21" x14ac:dyDescent="0.3">
      <c r="A24" s="40"/>
      <c r="B24" s="56" t="s">
        <v>90</v>
      </c>
      <c r="C24" s="48"/>
      <c r="D24" s="38"/>
      <c r="K24" s="50"/>
      <c r="L24" s="49"/>
    </row>
    <row r="25" spans="1:21" x14ac:dyDescent="0.3">
      <c r="A25" s="40"/>
      <c r="B25" s="56" t="s">
        <v>91</v>
      </c>
      <c r="C25" s="48"/>
      <c r="D25" s="38"/>
      <c r="K25" s="50"/>
      <c r="L25" s="49"/>
    </row>
    <row r="26" spans="1:21" x14ac:dyDescent="0.3">
      <c r="A26" s="40"/>
      <c r="B26" s="51" t="s">
        <v>92</v>
      </c>
      <c r="C26" s="48"/>
      <c r="D26" s="38"/>
      <c r="K26" s="50"/>
      <c r="L26" s="49"/>
    </row>
    <row r="27" spans="1:21" x14ac:dyDescent="0.3">
      <c r="A27" s="40"/>
      <c r="B27" s="51" t="s">
        <v>93</v>
      </c>
      <c r="C27" s="48"/>
      <c r="D27" s="38"/>
      <c r="K27" s="50"/>
      <c r="L27" s="49"/>
    </row>
    <row r="28" spans="1:21" x14ac:dyDescent="0.3">
      <c r="A28" s="40"/>
      <c r="B28" s="51" t="s">
        <v>94</v>
      </c>
      <c r="C28" s="48"/>
      <c r="D28" s="38"/>
      <c r="K28" s="50"/>
      <c r="L28" s="49"/>
    </row>
    <row r="29" spans="1:21" x14ac:dyDescent="0.3">
      <c r="A29" s="40"/>
      <c r="B29" s="51" t="s">
        <v>95</v>
      </c>
      <c r="C29" s="48"/>
      <c r="D29" s="38"/>
      <c r="K29" s="50"/>
      <c r="L29" s="57">
        <v>84.92</v>
      </c>
      <c r="M29" s="8">
        <v>552510</v>
      </c>
      <c r="N29" s="60" t="s">
        <v>96</v>
      </c>
      <c r="S29" s="5">
        <v>0</v>
      </c>
      <c r="T29" s="8">
        <v>552510</v>
      </c>
      <c r="U29" s="60" t="s">
        <v>96</v>
      </c>
    </row>
    <row r="30" spans="1:21" x14ac:dyDescent="0.3">
      <c r="A30" s="40"/>
      <c r="B30" s="51" t="s">
        <v>97</v>
      </c>
      <c r="C30" s="48"/>
      <c r="D30" s="38"/>
      <c r="K30" s="50"/>
      <c r="L30" s="49"/>
    </row>
    <row r="31" spans="1:21" s="65" customFormat="1" x14ac:dyDescent="0.3">
      <c r="A31" s="61"/>
      <c r="B31" s="62"/>
      <c r="C31" s="63"/>
      <c r="D31" s="64"/>
      <c r="K31" s="66"/>
      <c r="L31" s="64">
        <f>kulud!L29</f>
        <v>84.92</v>
      </c>
      <c r="M31" s="67" t="s">
        <v>85</v>
      </c>
      <c r="R31" s="66"/>
      <c r="S31" s="68">
        <f>kulud!S29</f>
        <v>0</v>
      </c>
    </row>
    <row r="32" spans="1:21" x14ac:dyDescent="0.3">
      <c r="A32" s="2" t="s">
        <v>99</v>
      </c>
      <c r="B32" s="51" t="s">
        <v>82</v>
      </c>
      <c r="C32" s="6">
        <v>0</v>
      </c>
    </row>
    <row r="33" spans="1:21" x14ac:dyDescent="0.3">
      <c r="A33" s="2"/>
      <c r="B33" s="51" t="s">
        <v>83</v>
      </c>
      <c r="C33" s="6">
        <f>400*piletimüük!C3</f>
        <v>3200</v>
      </c>
    </row>
    <row r="34" spans="1:21" x14ac:dyDescent="0.3">
      <c r="A34" s="2"/>
      <c r="B34" s="51" t="s">
        <v>86</v>
      </c>
    </row>
    <row r="35" spans="1:21" x14ac:dyDescent="0.3">
      <c r="A35" s="55" t="s">
        <v>85</v>
      </c>
      <c r="B35" s="51" t="s">
        <v>87</v>
      </c>
      <c r="C35" s="6">
        <v>0</v>
      </c>
      <c r="L35" s="52">
        <v>457.24</v>
      </c>
      <c r="M35" s="53">
        <v>552530</v>
      </c>
      <c r="N35" s="54" t="s">
        <v>100</v>
      </c>
      <c r="O35" s="54"/>
      <c r="P35" s="54"/>
      <c r="T35" s="53"/>
    </row>
    <row r="36" spans="1:21" x14ac:dyDescent="0.3">
      <c r="A36" s="2"/>
      <c r="B36" s="56" t="s">
        <v>89</v>
      </c>
      <c r="D36" s="57">
        <v>238</v>
      </c>
      <c r="E36" s="8">
        <v>500500</v>
      </c>
      <c r="L36" s="57">
        <v>130</v>
      </c>
      <c r="M36" s="8">
        <v>500500</v>
      </c>
      <c r="N36" t="s">
        <v>85</v>
      </c>
      <c r="T36" s="8"/>
    </row>
    <row r="37" spans="1:21" x14ac:dyDescent="0.3">
      <c r="A37" s="2"/>
      <c r="B37" s="56" t="s">
        <v>90</v>
      </c>
      <c r="D37" s="57">
        <v>78.540000000000006</v>
      </c>
      <c r="E37" s="8">
        <v>506000</v>
      </c>
      <c r="L37" s="57">
        <v>42.9</v>
      </c>
      <c r="M37" s="8">
        <v>506000</v>
      </c>
      <c r="N37" t="s">
        <v>85</v>
      </c>
      <c r="T37" s="8"/>
    </row>
    <row r="38" spans="1:21" x14ac:dyDescent="0.3">
      <c r="A38" s="2"/>
      <c r="B38" s="56" t="s">
        <v>91</v>
      </c>
      <c r="D38" s="57">
        <v>1.9</v>
      </c>
      <c r="E38" s="8">
        <v>506040</v>
      </c>
      <c r="L38" s="57">
        <v>1.04</v>
      </c>
      <c r="M38" s="8">
        <v>506040</v>
      </c>
      <c r="N38" t="s">
        <v>85</v>
      </c>
      <c r="T38" s="8"/>
    </row>
    <row r="39" spans="1:21" x14ac:dyDescent="0.3">
      <c r="A39" s="2"/>
      <c r="B39" s="56" t="s">
        <v>88</v>
      </c>
      <c r="D39" s="57">
        <v>871.26499999999999</v>
      </c>
      <c r="E39" s="8">
        <v>552530</v>
      </c>
      <c r="K39" s="69" t="s">
        <v>88</v>
      </c>
      <c r="L39" s="57">
        <v>1787.8</v>
      </c>
      <c r="M39" s="8">
        <v>552530</v>
      </c>
      <c r="N39" s="60" t="s">
        <v>101</v>
      </c>
      <c r="T39" s="8"/>
    </row>
    <row r="40" spans="1:21" x14ac:dyDescent="0.3">
      <c r="A40" s="2"/>
      <c r="B40" s="51" t="s">
        <v>92</v>
      </c>
      <c r="C40" s="6">
        <v>0</v>
      </c>
      <c r="D40" s="57">
        <v>33</v>
      </c>
      <c r="E40" s="8">
        <v>552520</v>
      </c>
      <c r="L40" s="57">
        <v>0</v>
      </c>
      <c r="M40" s="8">
        <v>552520</v>
      </c>
      <c r="N40" s="60"/>
      <c r="T40" s="8"/>
    </row>
    <row r="41" spans="1:21" x14ac:dyDescent="0.3">
      <c r="A41" s="2"/>
      <c r="B41" s="51" t="s">
        <v>93</v>
      </c>
      <c r="C41" s="70">
        <v>500</v>
      </c>
      <c r="D41" s="57">
        <v>267.89999999999998</v>
      </c>
      <c r="E41" s="8">
        <v>552580</v>
      </c>
      <c r="L41" s="57">
        <v>246.6</v>
      </c>
      <c r="M41" s="8">
        <v>552580</v>
      </c>
      <c r="N41" s="60" t="s">
        <v>102</v>
      </c>
      <c r="T41" s="8"/>
    </row>
    <row r="42" spans="1:21" x14ac:dyDescent="0.3">
      <c r="A42" s="2"/>
      <c r="B42" s="51" t="s">
        <v>94</v>
      </c>
      <c r="C42" s="6">
        <v>0</v>
      </c>
      <c r="D42" s="57">
        <v>250.46</v>
      </c>
      <c r="E42" s="8">
        <v>550301</v>
      </c>
      <c r="L42" s="57">
        <v>75.23</v>
      </c>
      <c r="M42" s="8">
        <v>550301</v>
      </c>
      <c r="N42" s="60"/>
      <c r="T42" s="8"/>
    </row>
    <row r="43" spans="1:21" x14ac:dyDescent="0.3">
      <c r="A43" s="2"/>
      <c r="B43" s="51" t="s">
        <v>95</v>
      </c>
      <c r="C43" s="6">
        <f>piletimüük!E3/100*10</f>
        <v>1365.76</v>
      </c>
      <c r="D43" s="57">
        <v>6532.96</v>
      </c>
      <c r="E43" s="8">
        <v>552510</v>
      </c>
      <c r="L43" s="57">
        <v>9389.52</v>
      </c>
      <c r="M43" s="8">
        <v>552510</v>
      </c>
      <c r="N43" s="60" t="s">
        <v>96</v>
      </c>
      <c r="O43" t="s">
        <v>103</v>
      </c>
      <c r="S43" s="5">
        <v>342.56</v>
      </c>
      <c r="T43" s="8">
        <v>552510</v>
      </c>
      <c r="U43" s="60" t="s">
        <v>96</v>
      </c>
    </row>
    <row r="44" spans="1:21" x14ac:dyDescent="0.3">
      <c r="A44" s="2"/>
      <c r="B44" s="51" t="s">
        <v>97</v>
      </c>
      <c r="C44" s="6">
        <f>piletimüük!E3/100*2</f>
        <v>273.15199999999999</v>
      </c>
    </row>
    <row r="45" spans="1:21" s="73" customFormat="1" x14ac:dyDescent="0.3">
      <c r="A45" s="71"/>
      <c r="B45" s="72"/>
      <c r="C45" s="63">
        <f>SUM(kulud!C32:C44)</f>
        <v>5338.9120000000003</v>
      </c>
      <c r="D45" s="64">
        <f>kulud!D36+kulud!D37+kulud!D38+kulud!D39+kulud!D40+kulud!D41+kulud!D42+kulud!D43</f>
        <v>8274.0249999999996</v>
      </c>
      <c r="K45" s="74"/>
      <c r="L45" s="64">
        <f>kulud!L35+kulud!L36+kulud!L37+kulud!L38+kulud!L39+kulud!L41+kulud!L42+kulud!L43</f>
        <v>12130.33</v>
      </c>
      <c r="M45" s="67" t="s">
        <v>85</v>
      </c>
      <c r="R45" s="74"/>
      <c r="S45" s="68">
        <f>kulud!S43</f>
        <v>342.56</v>
      </c>
      <c r="T45" s="65" t="s">
        <v>85</v>
      </c>
    </row>
    <row r="46" spans="1:21" x14ac:dyDescent="0.3">
      <c r="A46" s="2" t="s">
        <v>104</v>
      </c>
      <c r="B46" s="51" t="s">
        <v>82</v>
      </c>
      <c r="C46" s="6">
        <f>150*piletimüük!C4/2</f>
        <v>600</v>
      </c>
    </row>
    <row r="47" spans="1:21" x14ac:dyDescent="0.3">
      <c r="A47" s="2"/>
      <c r="B47" s="51" t="s">
        <v>83</v>
      </c>
      <c r="C47" s="6">
        <f>180*piletimüük!C4*1.3</f>
        <v>1872</v>
      </c>
      <c r="L47" s="52">
        <v>200</v>
      </c>
      <c r="M47" s="53">
        <v>552530</v>
      </c>
      <c r="N47" s="54" t="s">
        <v>105</v>
      </c>
      <c r="O47" s="54"/>
      <c r="P47" s="54"/>
    </row>
    <row r="48" spans="1:21" x14ac:dyDescent="0.3">
      <c r="A48" s="2"/>
      <c r="B48" s="51" t="s">
        <v>86</v>
      </c>
      <c r="C48" s="6">
        <v>0</v>
      </c>
      <c r="L48" s="57"/>
    </row>
    <row r="49" spans="1:23" x14ac:dyDescent="0.3">
      <c r="A49" s="55" t="s">
        <v>85</v>
      </c>
      <c r="B49" s="51" t="s">
        <v>87</v>
      </c>
      <c r="C49" s="6">
        <v>0</v>
      </c>
      <c r="L49" s="57"/>
    </row>
    <row r="50" spans="1:23" x14ac:dyDescent="0.3">
      <c r="A50" s="2"/>
      <c r="B50" s="56" t="s">
        <v>88</v>
      </c>
      <c r="D50" s="57">
        <v>1700.635</v>
      </c>
      <c r="E50" s="8">
        <v>552530</v>
      </c>
      <c r="L50" s="57">
        <v>0</v>
      </c>
      <c r="M50" s="8">
        <v>552530</v>
      </c>
      <c r="T50" s="8"/>
    </row>
    <row r="51" spans="1:23" x14ac:dyDescent="0.3">
      <c r="A51" s="2"/>
      <c r="B51" s="51" t="s">
        <v>92</v>
      </c>
      <c r="C51" s="6">
        <v>0</v>
      </c>
      <c r="L51" s="57"/>
    </row>
    <row r="52" spans="1:23" x14ac:dyDescent="0.3">
      <c r="A52" s="2"/>
      <c r="B52" s="51" t="s">
        <v>93</v>
      </c>
      <c r="C52" s="70">
        <v>1000</v>
      </c>
      <c r="D52" s="57">
        <v>168</v>
      </c>
      <c r="E52" s="8">
        <v>552580</v>
      </c>
      <c r="L52" s="57"/>
      <c r="M52" s="8">
        <v>552580</v>
      </c>
      <c r="T52" s="8"/>
    </row>
    <row r="53" spans="1:23" x14ac:dyDescent="0.3">
      <c r="A53" s="2"/>
      <c r="B53" s="51" t="s">
        <v>94</v>
      </c>
      <c r="C53" s="6">
        <v>0</v>
      </c>
      <c r="L53" s="57">
        <v>0</v>
      </c>
    </row>
    <row r="54" spans="1:23" x14ac:dyDescent="0.3">
      <c r="A54" s="2"/>
      <c r="B54" s="51" t="s">
        <v>95</v>
      </c>
      <c r="C54" s="6">
        <v>0</v>
      </c>
      <c r="L54" s="57"/>
      <c r="S54" s="5">
        <v>162.84</v>
      </c>
      <c r="T54" s="8">
        <v>552510</v>
      </c>
      <c r="U54" s="60" t="s">
        <v>96</v>
      </c>
    </row>
    <row r="55" spans="1:23" x14ac:dyDescent="0.3">
      <c r="A55" s="2"/>
      <c r="B55" s="51" t="s">
        <v>97</v>
      </c>
      <c r="C55" s="6">
        <f>piletimüük!E4/100*2</f>
        <v>169.34399999999997</v>
      </c>
    </row>
    <row r="56" spans="1:23" s="73" customFormat="1" x14ac:dyDescent="0.3">
      <c r="A56" s="71"/>
      <c r="B56" s="72"/>
      <c r="C56" s="63">
        <f>SUM(kulud!C46:C55)</f>
        <v>3641.3440000000001</v>
      </c>
      <c r="D56" s="64">
        <f>kulud!D50+kulud!D52</f>
        <v>1868.635</v>
      </c>
      <c r="K56" s="74"/>
      <c r="L56" s="64">
        <f>kulud!L47</f>
        <v>200</v>
      </c>
      <c r="M56" s="67" t="s">
        <v>85</v>
      </c>
      <c r="R56" s="74"/>
      <c r="S56" s="68">
        <f>kulud!S54</f>
        <v>162.84</v>
      </c>
      <c r="T56" s="65" t="s">
        <v>85</v>
      </c>
    </row>
    <row r="57" spans="1:23" x14ac:dyDescent="0.3">
      <c r="A57" s="2" t="s">
        <v>106</v>
      </c>
      <c r="B57" s="51" t="s">
        <v>82</v>
      </c>
      <c r="C57" s="6">
        <f>(piletimüük!E5/100*8)</f>
        <v>956.03199999999993</v>
      </c>
    </row>
    <row r="58" spans="1:23" x14ac:dyDescent="0.3">
      <c r="A58" s="2"/>
      <c r="B58" s="51" t="s">
        <v>83</v>
      </c>
      <c r="C58" s="6">
        <v>0</v>
      </c>
      <c r="S58" s="5">
        <v>599</v>
      </c>
      <c r="T58" s="8">
        <v>552530</v>
      </c>
      <c r="U58" s="75" t="s">
        <v>107</v>
      </c>
    </row>
    <row r="59" spans="1:23" x14ac:dyDescent="0.3">
      <c r="A59" s="2"/>
      <c r="B59" s="51" t="s">
        <v>86</v>
      </c>
      <c r="C59" s="6">
        <v>0</v>
      </c>
    </row>
    <row r="60" spans="1:23" x14ac:dyDescent="0.3">
      <c r="A60" s="55" t="s">
        <v>85</v>
      </c>
      <c r="B60" s="51" t="s">
        <v>87</v>
      </c>
      <c r="C60" s="6">
        <v>0</v>
      </c>
    </row>
    <row r="61" spans="1:23" x14ac:dyDescent="0.3">
      <c r="A61" s="2"/>
      <c r="B61" s="56" t="s">
        <v>88</v>
      </c>
      <c r="D61" s="57">
        <v>82</v>
      </c>
      <c r="E61" s="8">
        <v>552530</v>
      </c>
      <c r="K61" s="69" t="s">
        <v>88</v>
      </c>
      <c r="L61" s="57">
        <v>2294.6</v>
      </c>
      <c r="M61" s="8">
        <v>552530</v>
      </c>
      <c r="N61" t="s">
        <v>108</v>
      </c>
      <c r="S61" s="5">
        <v>2480.91</v>
      </c>
      <c r="T61" s="8">
        <v>552530</v>
      </c>
      <c r="U61" t="s">
        <v>108</v>
      </c>
      <c r="W61" s="76" t="s">
        <v>88</v>
      </c>
    </row>
    <row r="62" spans="1:23" x14ac:dyDescent="0.3">
      <c r="A62" s="2"/>
      <c r="B62" s="56"/>
      <c r="D62" s="57"/>
      <c r="E62" s="8"/>
      <c r="K62" s="69"/>
      <c r="L62" s="57">
        <v>819</v>
      </c>
      <c r="M62" s="8">
        <v>552530</v>
      </c>
      <c r="N62" t="s">
        <v>109</v>
      </c>
      <c r="S62" s="5">
        <v>139.29</v>
      </c>
      <c r="T62" s="8">
        <v>552530</v>
      </c>
      <c r="U62" t="s">
        <v>110</v>
      </c>
      <c r="V62" t="s">
        <v>111</v>
      </c>
    </row>
    <row r="63" spans="1:23" x14ac:dyDescent="0.3">
      <c r="A63" s="2"/>
      <c r="B63" s="56"/>
      <c r="D63" s="57"/>
      <c r="E63" s="8"/>
      <c r="K63" s="69"/>
      <c r="L63" s="57"/>
      <c r="M63" s="8"/>
    </row>
    <row r="64" spans="1:23" x14ac:dyDescent="0.3">
      <c r="A64" s="2"/>
      <c r="B64" s="51" t="s">
        <v>92</v>
      </c>
      <c r="C64" s="6">
        <f>100*piletimüük!C5</f>
        <v>800</v>
      </c>
    </row>
    <row r="65" spans="1:21" x14ac:dyDescent="0.3">
      <c r="A65" s="2"/>
      <c r="B65" s="51" t="s">
        <v>93</v>
      </c>
      <c r="C65" s="70">
        <v>1000</v>
      </c>
    </row>
    <row r="66" spans="1:21" x14ac:dyDescent="0.3">
      <c r="A66" s="2"/>
      <c r="B66" s="51" t="s">
        <v>94</v>
      </c>
      <c r="C66" s="6">
        <v>0</v>
      </c>
    </row>
    <row r="67" spans="1:21" x14ac:dyDescent="0.3">
      <c r="A67" s="2"/>
      <c r="B67" s="51" t="s">
        <v>95</v>
      </c>
      <c r="C67" s="6">
        <f>piletimüük!E5/100*6</f>
        <v>717.02399999999989</v>
      </c>
      <c r="L67" s="57">
        <v>82.78</v>
      </c>
      <c r="M67" s="8">
        <v>552510</v>
      </c>
      <c r="N67" s="60" t="s">
        <v>96</v>
      </c>
      <c r="S67" s="5">
        <v>38.36</v>
      </c>
      <c r="T67" s="8">
        <v>552510</v>
      </c>
      <c r="U67" s="60" t="s">
        <v>96</v>
      </c>
    </row>
    <row r="68" spans="1:21" x14ac:dyDescent="0.3">
      <c r="A68" s="2"/>
      <c r="B68" s="51" t="s">
        <v>97</v>
      </c>
      <c r="C68" s="6">
        <f>piletimüük!E5/100*2</f>
        <v>239.00799999999998</v>
      </c>
    </row>
    <row r="69" spans="1:21" s="73" customFormat="1" x14ac:dyDescent="0.3">
      <c r="A69" s="71"/>
      <c r="B69" s="72"/>
      <c r="C69" s="63">
        <f>SUM(kulud!C57:C68)</f>
        <v>3712.0639999999999</v>
      </c>
      <c r="D69" s="64">
        <f>kulud!D61</f>
        <v>82</v>
      </c>
      <c r="K69" s="74"/>
      <c r="L69" s="64">
        <f>kulud!L61+kulud!L62+kulud!L67</f>
        <v>3196.38</v>
      </c>
      <c r="M69" s="67" t="s">
        <v>85</v>
      </c>
      <c r="R69" s="74"/>
      <c r="S69" s="68">
        <f>kulud!S58+kulud!S61+kulud!S62+kulud!S67</f>
        <v>3257.56</v>
      </c>
      <c r="T69" s="65" t="s">
        <v>85</v>
      </c>
    </row>
    <row r="70" spans="1:21" x14ac:dyDescent="0.3">
      <c r="A70" s="2" t="s">
        <v>112</v>
      </c>
      <c r="B70" s="51" t="s">
        <v>82</v>
      </c>
      <c r="C70" s="6">
        <v>0</v>
      </c>
    </row>
    <row r="71" spans="1:21" x14ac:dyDescent="0.3">
      <c r="A71" s="2"/>
      <c r="B71" s="51" t="s">
        <v>83</v>
      </c>
      <c r="C71" s="6">
        <v>0</v>
      </c>
    </row>
    <row r="72" spans="1:21" x14ac:dyDescent="0.3">
      <c r="A72" s="2"/>
      <c r="B72" s="51" t="s">
        <v>86</v>
      </c>
      <c r="C72" s="6">
        <v>0</v>
      </c>
    </row>
    <row r="73" spans="1:21" x14ac:dyDescent="0.3">
      <c r="A73" s="40" t="s">
        <v>85</v>
      </c>
      <c r="B73" s="51" t="s">
        <v>87</v>
      </c>
      <c r="C73" s="6">
        <v>0</v>
      </c>
    </row>
    <row r="74" spans="1:21" x14ac:dyDescent="0.3">
      <c r="A74" s="40"/>
      <c r="B74" s="56" t="s">
        <v>88</v>
      </c>
      <c r="C74" s="6"/>
      <c r="E74" s="8">
        <v>552530</v>
      </c>
      <c r="K74" s="69" t="s">
        <v>88</v>
      </c>
      <c r="L74" s="57">
        <v>240</v>
      </c>
      <c r="M74" s="8">
        <v>552530</v>
      </c>
      <c r="N74" t="s">
        <v>113</v>
      </c>
      <c r="S74" s="5">
        <v>249.42</v>
      </c>
      <c r="T74" s="8">
        <v>552530</v>
      </c>
      <c r="U74" t="s">
        <v>114</v>
      </c>
    </row>
    <row r="75" spans="1:21" x14ac:dyDescent="0.3">
      <c r="A75" s="2"/>
      <c r="B75" s="51" t="s">
        <v>92</v>
      </c>
      <c r="C75" s="6">
        <v>0</v>
      </c>
    </row>
    <row r="76" spans="1:21" x14ac:dyDescent="0.3">
      <c r="A76" s="2"/>
      <c r="B76" s="51" t="s">
        <v>93</v>
      </c>
      <c r="C76" s="70">
        <v>1500</v>
      </c>
    </row>
    <row r="77" spans="1:21" x14ac:dyDescent="0.3">
      <c r="A77" s="2"/>
      <c r="B77" s="51" t="s">
        <v>94</v>
      </c>
      <c r="C77" s="6">
        <v>0</v>
      </c>
    </row>
    <row r="78" spans="1:21" x14ac:dyDescent="0.3">
      <c r="A78" s="2"/>
      <c r="B78" s="51" t="s">
        <v>95</v>
      </c>
      <c r="C78" s="6">
        <f>piletimüük!E6/100*6</f>
        <v>537.76799999999992</v>
      </c>
      <c r="L78" s="57">
        <v>23.82</v>
      </c>
      <c r="M78" s="8">
        <v>552510</v>
      </c>
      <c r="N78" s="60" t="s">
        <v>96</v>
      </c>
      <c r="S78" s="5">
        <v>3000</v>
      </c>
      <c r="T78" s="8">
        <v>552510</v>
      </c>
      <c r="U78" s="60" t="s">
        <v>115</v>
      </c>
    </row>
    <row r="79" spans="1:21" x14ac:dyDescent="0.3">
      <c r="A79" s="2"/>
      <c r="B79" s="51" t="s">
        <v>97</v>
      </c>
      <c r="C79" s="6">
        <f>piletimüük!E6/100*2</f>
        <v>179.25599999999997</v>
      </c>
    </row>
    <row r="80" spans="1:21" s="73" customFormat="1" x14ac:dyDescent="0.3">
      <c r="A80" s="71"/>
      <c r="B80" s="72"/>
      <c r="C80" s="77"/>
      <c r="D80" s="78"/>
      <c r="K80" s="74"/>
      <c r="L80" s="64">
        <f>kulud!L74+kulud!L78</f>
        <v>263.82</v>
      </c>
      <c r="M80" s="67" t="s">
        <v>85</v>
      </c>
      <c r="R80" s="74"/>
      <c r="S80" s="68">
        <f>kulud!S74+kulud!S78</f>
        <v>3249.42</v>
      </c>
      <c r="T80" s="65" t="s">
        <v>85</v>
      </c>
    </row>
    <row r="81" spans="1:24" x14ac:dyDescent="0.3">
      <c r="A81" s="79" t="s">
        <v>116</v>
      </c>
      <c r="B81" s="51" t="s">
        <v>82</v>
      </c>
      <c r="C81" s="6">
        <v>0</v>
      </c>
    </row>
    <row r="82" spans="1:24" x14ac:dyDescent="0.3">
      <c r="A82" s="2"/>
      <c r="B82" s="51" t="s">
        <v>83</v>
      </c>
      <c r="C82" s="6">
        <v>0</v>
      </c>
    </row>
    <row r="83" spans="1:24" x14ac:dyDescent="0.3">
      <c r="A83" s="55" t="s">
        <v>85</v>
      </c>
      <c r="B83" s="51" t="s">
        <v>86</v>
      </c>
      <c r="C83" s="6">
        <v>0</v>
      </c>
    </row>
    <row r="84" spans="1:24" x14ac:dyDescent="0.3">
      <c r="A84" s="2" t="s">
        <v>117</v>
      </c>
      <c r="B84" s="51" t="s">
        <v>87</v>
      </c>
      <c r="C84" s="6">
        <v>0</v>
      </c>
    </row>
    <row r="85" spans="1:24" x14ac:dyDescent="0.3">
      <c r="A85" s="2"/>
      <c r="B85" s="51" t="s">
        <v>92</v>
      </c>
      <c r="C85" s="6">
        <v>0</v>
      </c>
    </row>
    <row r="86" spans="1:24" x14ac:dyDescent="0.3">
      <c r="A86" s="2"/>
      <c r="B86" s="51" t="s">
        <v>93</v>
      </c>
      <c r="C86" s="70">
        <v>0</v>
      </c>
      <c r="L86" s="57">
        <v>78</v>
      </c>
      <c r="M86" s="8">
        <v>552580</v>
      </c>
      <c r="N86" s="60" t="s">
        <v>118</v>
      </c>
      <c r="T86" s="8"/>
    </row>
    <row r="87" spans="1:24" x14ac:dyDescent="0.3">
      <c r="A87" s="2"/>
      <c r="B87" s="51" t="s">
        <v>94</v>
      </c>
      <c r="C87" s="6">
        <v>0</v>
      </c>
      <c r="D87" s="57">
        <v>275.85000000000002</v>
      </c>
      <c r="E87" s="8">
        <v>550301</v>
      </c>
      <c r="L87" s="57">
        <v>0</v>
      </c>
      <c r="M87" s="8">
        <v>550301</v>
      </c>
      <c r="N87" s="60"/>
      <c r="T87" s="8"/>
    </row>
    <row r="88" spans="1:24" x14ac:dyDescent="0.3">
      <c r="A88" s="2"/>
      <c r="B88" s="51"/>
      <c r="D88" s="57">
        <v>136.69</v>
      </c>
      <c r="E88" s="8">
        <v>552590</v>
      </c>
      <c r="L88" s="57">
        <v>0</v>
      </c>
      <c r="M88" s="8">
        <v>552590</v>
      </c>
      <c r="N88" s="60"/>
      <c r="T88" s="8"/>
    </row>
    <row r="89" spans="1:24" x14ac:dyDescent="0.3">
      <c r="A89" s="2"/>
      <c r="B89" s="51" t="s">
        <v>95</v>
      </c>
      <c r="C89" s="6">
        <v>0</v>
      </c>
      <c r="L89" s="57">
        <v>500</v>
      </c>
      <c r="M89" s="8">
        <v>552510</v>
      </c>
      <c r="N89" s="60" t="s">
        <v>96</v>
      </c>
      <c r="S89" s="5">
        <v>5000</v>
      </c>
      <c r="T89" s="8">
        <v>552510</v>
      </c>
      <c r="U89" s="60" t="s">
        <v>119</v>
      </c>
      <c r="X89" s="60"/>
    </row>
    <row r="90" spans="1:24" x14ac:dyDescent="0.3">
      <c r="A90" s="2"/>
      <c r="B90" s="51" t="s">
        <v>97</v>
      </c>
      <c r="C90" s="6">
        <v>0</v>
      </c>
      <c r="S90" s="5">
        <v>6400</v>
      </c>
      <c r="T90" s="8">
        <v>552510</v>
      </c>
      <c r="U90" s="60" t="s">
        <v>96</v>
      </c>
    </row>
    <row r="91" spans="1:24" s="73" customFormat="1" x14ac:dyDescent="0.3">
      <c r="A91" s="71"/>
      <c r="B91" s="72"/>
      <c r="C91" s="63">
        <v>0</v>
      </c>
      <c r="D91" s="64">
        <f>kulud!D87+kulud!D88</f>
        <v>412.54</v>
      </c>
      <c r="K91" s="74"/>
      <c r="L91" s="64">
        <f>kulud!L86+kulud!L89</f>
        <v>578</v>
      </c>
      <c r="M91" s="67" t="s">
        <v>85</v>
      </c>
      <c r="R91" s="74"/>
      <c r="S91" s="68">
        <f>kulud!S89+kulud!S90</f>
        <v>11400</v>
      </c>
      <c r="T91" s="65" t="s">
        <v>85</v>
      </c>
    </row>
    <row r="92" spans="1:24" x14ac:dyDescent="0.3">
      <c r="A92" s="2" t="s">
        <v>120</v>
      </c>
      <c r="B92" s="51" t="s">
        <v>82</v>
      </c>
      <c r="C92" s="6">
        <v>0</v>
      </c>
    </row>
    <row r="93" spans="1:24" x14ac:dyDescent="0.3">
      <c r="A93" s="2"/>
      <c r="B93" s="51" t="s">
        <v>83</v>
      </c>
      <c r="C93" s="6">
        <v>0</v>
      </c>
    </row>
    <row r="94" spans="1:24" x14ac:dyDescent="0.3">
      <c r="A94" s="2"/>
      <c r="B94" s="51" t="s">
        <v>86</v>
      </c>
      <c r="C94" s="6">
        <v>0</v>
      </c>
    </row>
    <row r="95" spans="1:24" x14ac:dyDescent="0.3">
      <c r="A95" s="55" t="s">
        <v>85</v>
      </c>
      <c r="B95" s="51" t="s">
        <v>87</v>
      </c>
      <c r="C95" s="6">
        <v>0</v>
      </c>
    </row>
    <row r="96" spans="1:24" x14ac:dyDescent="0.3">
      <c r="A96" s="2"/>
      <c r="B96" s="56" t="s">
        <v>88</v>
      </c>
      <c r="D96" s="57">
        <v>1222.075</v>
      </c>
      <c r="E96" s="8">
        <v>552530</v>
      </c>
    </row>
    <row r="97" spans="1:21" x14ac:dyDescent="0.3">
      <c r="A97" s="2"/>
      <c r="B97" s="51" t="s">
        <v>92</v>
      </c>
      <c r="C97" s="6">
        <v>0</v>
      </c>
    </row>
    <row r="98" spans="1:21" x14ac:dyDescent="0.3">
      <c r="A98" s="2"/>
      <c r="B98" s="51" t="s">
        <v>93</v>
      </c>
      <c r="C98" s="70">
        <v>1500</v>
      </c>
      <c r="D98" s="57">
        <v>178</v>
      </c>
      <c r="E98" s="8">
        <v>552580</v>
      </c>
    </row>
    <row r="99" spans="1:21" x14ac:dyDescent="0.3">
      <c r="A99" s="2"/>
      <c r="B99" s="51" t="s">
        <v>94</v>
      </c>
      <c r="C99" s="6">
        <v>0</v>
      </c>
    </row>
    <row r="100" spans="1:21" x14ac:dyDescent="0.3">
      <c r="A100" s="2"/>
      <c r="B100" s="51" t="s">
        <v>95</v>
      </c>
      <c r="C100" s="6">
        <f>piletimüük!E7/100*7</f>
        <v>1998.9760000000003</v>
      </c>
      <c r="L100" s="57">
        <v>372.67</v>
      </c>
      <c r="M100" s="8">
        <v>552510</v>
      </c>
      <c r="N100" s="60" t="s">
        <v>96</v>
      </c>
      <c r="S100" s="5">
        <v>128.08000000000001</v>
      </c>
      <c r="T100" s="8">
        <v>552510</v>
      </c>
      <c r="U100" s="60" t="s">
        <v>96</v>
      </c>
    </row>
    <row r="101" spans="1:21" x14ac:dyDescent="0.3">
      <c r="A101" s="2"/>
      <c r="B101" s="51" t="s">
        <v>97</v>
      </c>
      <c r="C101" s="6">
        <f>piletimüük!E7/100*2</f>
        <v>571.13600000000008</v>
      </c>
    </row>
    <row r="102" spans="1:21" s="73" customFormat="1" x14ac:dyDescent="0.3">
      <c r="A102" s="71"/>
      <c r="B102" s="72"/>
      <c r="C102" s="63">
        <f>SUM(kulud!C92:C101)</f>
        <v>4070.1120000000005</v>
      </c>
      <c r="D102" s="64">
        <f>kulud!D96+kulud!D98</f>
        <v>1400.075</v>
      </c>
      <c r="K102" s="74"/>
      <c r="L102" s="64">
        <f>kulud!L100</f>
        <v>372.67</v>
      </c>
      <c r="M102" s="67" t="s">
        <v>85</v>
      </c>
      <c r="R102" s="74"/>
      <c r="S102" s="68">
        <f>kulud!S100</f>
        <v>128.08000000000001</v>
      </c>
      <c r="T102" s="65" t="s">
        <v>85</v>
      </c>
    </row>
    <row r="103" spans="1:21" x14ac:dyDescent="0.3">
      <c r="A103" s="2" t="s">
        <v>121</v>
      </c>
      <c r="B103" s="51" t="s">
        <v>82</v>
      </c>
      <c r="C103" s="6">
        <v>0</v>
      </c>
    </row>
    <row r="104" spans="1:21" x14ac:dyDescent="0.3">
      <c r="A104" s="2"/>
      <c r="B104" s="51" t="s">
        <v>83</v>
      </c>
      <c r="C104" s="6">
        <f>400*piletimüük!C8</f>
        <v>8000</v>
      </c>
      <c r="L104" s="52">
        <v>800</v>
      </c>
      <c r="M104" s="53">
        <v>552530</v>
      </c>
      <c r="N104" s="54" t="s">
        <v>122</v>
      </c>
      <c r="O104" s="54"/>
      <c r="P104" s="54"/>
      <c r="T104" s="53"/>
    </row>
    <row r="105" spans="1:21" x14ac:dyDescent="0.3">
      <c r="A105" s="2"/>
      <c r="B105" s="51" t="s">
        <v>86</v>
      </c>
      <c r="C105" s="6">
        <v>0</v>
      </c>
    </row>
    <row r="106" spans="1:21" x14ac:dyDescent="0.3">
      <c r="A106" s="55" t="s">
        <v>85</v>
      </c>
      <c r="B106" s="51" t="s">
        <v>87</v>
      </c>
      <c r="C106" s="6">
        <f>100*piletimüük!C8</f>
        <v>2000</v>
      </c>
    </row>
    <row r="107" spans="1:21" x14ac:dyDescent="0.3">
      <c r="A107" s="2"/>
      <c r="B107" s="56" t="s">
        <v>89</v>
      </c>
      <c r="D107" s="57">
        <v>1739</v>
      </c>
      <c r="E107" s="8">
        <v>500500</v>
      </c>
      <c r="L107" s="57">
        <v>445</v>
      </c>
      <c r="M107" s="8">
        <v>500500</v>
      </c>
      <c r="N107" t="s">
        <v>85</v>
      </c>
      <c r="T107" s="8"/>
    </row>
    <row r="108" spans="1:21" x14ac:dyDescent="0.3">
      <c r="A108" s="2"/>
      <c r="B108" s="56" t="s">
        <v>90</v>
      </c>
      <c r="D108" s="57">
        <v>573.87</v>
      </c>
      <c r="E108" s="8">
        <v>506000</v>
      </c>
      <c r="L108" s="57">
        <v>146.85</v>
      </c>
      <c r="M108" s="8">
        <v>506000</v>
      </c>
      <c r="N108" t="s">
        <v>85</v>
      </c>
      <c r="T108" s="8"/>
    </row>
    <row r="109" spans="1:21" x14ac:dyDescent="0.3">
      <c r="A109" s="2"/>
      <c r="B109" s="56" t="s">
        <v>91</v>
      </c>
      <c r="D109" s="57">
        <v>13.91</v>
      </c>
      <c r="E109" s="8">
        <v>506040</v>
      </c>
      <c r="L109" s="57">
        <v>3.56</v>
      </c>
      <c r="M109" s="8">
        <v>506040</v>
      </c>
      <c r="N109" t="s">
        <v>85</v>
      </c>
      <c r="T109" s="8"/>
    </row>
    <row r="110" spans="1:21" x14ac:dyDescent="0.3">
      <c r="A110" s="2"/>
      <c r="B110" s="56" t="s">
        <v>88</v>
      </c>
      <c r="D110" s="57">
        <v>7692.165</v>
      </c>
      <c r="E110" s="8">
        <v>552530</v>
      </c>
      <c r="K110" s="69" t="s">
        <v>88</v>
      </c>
      <c r="L110" s="57">
        <v>627.61</v>
      </c>
      <c r="M110" s="8">
        <v>552530</v>
      </c>
      <c r="N110" t="s">
        <v>123</v>
      </c>
      <c r="T110" s="8"/>
    </row>
    <row r="111" spans="1:21" x14ac:dyDescent="0.3">
      <c r="A111" s="2"/>
      <c r="B111" s="51" t="s">
        <v>92</v>
      </c>
      <c r="C111" s="6">
        <v>0</v>
      </c>
    </row>
    <row r="112" spans="1:21" x14ac:dyDescent="0.3">
      <c r="A112" s="2"/>
      <c r="B112" s="51" t="s">
        <v>93</v>
      </c>
      <c r="C112" s="70">
        <v>2000</v>
      </c>
      <c r="D112" s="57">
        <v>235.36</v>
      </c>
      <c r="E112" s="8">
        <v>552580</v>
      </c>
      <c r="L112" s="57">
        <v>0</v>
      </c>
      <c r="M112" s="8">
        <v>552580</v>
      </c>
      <c r="T112" s="8"/>
    </row>
    <row r="113" spans="1:21" x14ac:dyDescent="0.3">
      <c r="A113" s="2"/>
      <c r="B113" s="51" t="s">
        <v>94</v>
      </c>
      <c r="C113" s="6">
        <v>0</v>
      </c>
    </row>
    <row r="114" spans="1:21" x14ac:dyDescent="0.3">
      <c r="A114" s="2"/>
      <c r="B114" s="51" t="s">
        <v>95</v>
      </c>
      <c r="C114" s="6">
        <v>0</v>
      </c>
    </row>
    <row r="115" spans="1:21" x14ac:dyDescent="0.3">
      <c r="A115" s="2"/>
      <c r="B115" s="51" t="s">
        <v>97</v>
      </c>
      <c r="C115" s="6">
        <f>piletimüük!E8/100*2</f>
        <v>489.6</v>
      </c>
    </row>
    <row r="116" spans="1:21" s="73" customFormat="1" x14ac:dyDescent="0.3">
      <c r="A116" s="71"/>
      <c r="B116" s="72"/>
      <c r="C116" s="63">
        <f>SUM(kulud!C103:C115)</f>
        <v>12489.6</v>
      </c>
      <c r="D116" s="64">
        <f>kulud!D107+kulud!D108+kulud!D109+kulud!D110+kulud!D112</f>
        <v>10254.305</v>
      </c>
      <c r="K116" s="74"/>
      <c r="L116" s="64">
        <f>kulud!L104+kulud!L107+kulud!L108+kulud!L109+kulud!L110</f>
        <v>2023.02</v>
      </c>
      <c r="M116" s="67" t="s">
        <v>85</v>
      </c>
      <c r="R116" s="74"/>
      <c r="S116" s="80"/>
    </row>
    <row r="117" spans="1:21" x14ac:dyDescent="0.3">
      <c r="A117" s="2" t="s">
        <v>124</v>
      </c>
      <c r="B117" s="51" t="s">
        <v>82</v>
      </c>
      <c r="C117" s="6">
        <v>2000</v>
      </c>
    </row>
    <row r="118" spans="1:21" x14ac:dyDescent="0.3">
      <c r="A118" s="2"/>
      <c r="B118" s="51" t="s">
        <v>83</v>
      </c>
      <c r="C118" s="6">
        <f>250*piletimüük!C9</f>
        <v>4000</v>
      </c>
      <c r="L118" s="52">
        <v>1600</v>
      </c>
      <c r="M118" s="53">
        <v>552530</v>
      </c>
      <c r="N118" s="54" t="s">
        <v>125</v>
      </c>
      <c r="O118" s="54"/>
      <c r="P118" s="54"/>
    </row>
    <row r="119" spans="1:21" x14ac:dyDescent="0.3">
      <c r="A119" s="2"/>
      <c r="B119" s="51" t="s">
        <v>86</v>
      </c>
      <c r="C119" s="6">
        <v>1000</v>
      </c>
    </row>
    <row r="120" spans="1:21" x14ac:dyDescent="0.3">
      <c r="A120" s="2"/>
      <c r="B120" s="51" t="s">
        <v>87</v>
      </c>
      <c r="C120" s="6">
        <v>0</v>
      </c>
    </row>
    <row r="121" spans="1:21" x14ac:dyDescent="0.3">
      <c r="A121" s="55" t="s">
        <v>126</v>
      </c>
      <c r="B121" s="56" t="s">
        <v>88</v>
      </c>
      <c r="D121" s="57">
        <v>12491.38</v>
      </c>
      <c r="E121" s="8">
        <v>552530</v>
      </c>
      <c r="K121" s="69" t="s">
        <v>88</v>
      </c>
      <c r="L121" s="57">
        <v>828.25</v>
      </c>
      <c r="M121" s="8">
        <v>552530</v>
      </c>
      <c r="N121" t="s">
        <v>127</v>
      </c>
      <c r="S121" s="5">
        <v>-164.39</v>
      </c>
      <c r="T121" s="8">
        <v>552530</v>
      </c>
      <c r="U121" t="s">
        <v>128</v>
      </c>
    </row>
    <row r="122" spans="1:21" x14ac:dyDescent="0.3">
      <c r="A122" s="2"/>
      <c r="B122" s="56" t="s">
        <v>89</v>
      </c>
      <c r="D122" s="57">
        <v>2132</v>
      </c>
      <c r="E122" s="8">
        <v>500500</v>
      </c>
      <c r="L122" s="57">
        <v>662</v>
      </c>
      <c r="M122" s="8">
        <v>500500</v>
      </c>
      <c r="N122" s="54"/>
      <c r="O122" s="54"/>
      <c r="T122" s="8"/>
    </row>
    <row r="123" spans="1:21" x14ac:dyDescent="0.3">
      <c r="A123" s="2"/>
      <c r="B123" s="56" t="s">
        <v>90</v>
      </c>
      <c r="D123" s="57">
        <v>703.56</v>
      </c>
      <c r="E123" s="8">
        <v>506000</v>
      </c>
      <c r="L123" s="57">
        <v>218.46</v>
      </c>
      <c r="M123" s="8">
        <v>506000</v>
      </c>
      <c r="N123" s="54"/>
      <c r="O123" s="54"/>
      <c r="T123" s="8"/>
    </row>
    <row r="124" spans="1:21" x14ac:dyDescent="0.3">
      <c r="A124" s="2"/>
      <c r="B124" s="56" t="s">
        <v>91</v>
      </c>
      <c r="D124" s="57">
        <v>17.059999999999999</v>
      </c>
      <c r="E124" s="8">
        <v>506040</v>
      </c>
      <c r="L124" s="57">
        <v>5.29</v>
      </c>
      <c r="M124" s="8">
        <v>506040</v>
      </c>
      <c r="N124" s="54"/>
      <c r="O124" s="54"/>
      <c r="T124" s="8"/>
    </row>
    <row r="125" spans="1:21" x14ac:dyDescent="0.3">
      <c r="A125" s="2"/>
      <c r="B125" s="51"/>
      <c r="D125" s="57">
        <v>97.37</v>
      </c>
      <c r="E125" s="8">
        <v>552520</v>
      </c>
      <c r="L125" s="57">
        <v>0</v>
      </c>
      <c r="M125" s="8">
        <v>552520</v>
      </c>
    </row>
    <row r="126" spans="1:21" x14ac:dyDescent="0.3">
      <c r="A126" s="2"/>
      <c r="B126" s="51" t="s">
        <v>92</v>
      </c>
      <c r="C126" s="6">
        <v>5000</v>
      </c>
      <c r="L126" s="57"/>
    </row>
    <row r="127" spans="1:21" x14ac:dyDescent="0.3">
      <c r="A127" s="2"/>
      <c r="B127" s="51" t="s">
        <v>93</v>
      </c>
      <c r="C127" s="70">
        <v>3000</v>
      </c>
      <c r="D127" s="57">
        <v>1146.3599999999999</v>
      </c>
      <c r="E127" s="8">
        <v>552580</v>
      </c>
      <c r="L127" s="57">
        <v>0</v>
      </c>
      <c r="M127" s="8">
        <v>552580</v>
      </c>
      <c r="T127" s="8"/>
    </row>
    <row r="128" spans="1:21" x14ac:dyDescent="0.3">
      <c r="A128" s="2"/>
      <c r="B128" s="51" t="s">
        <v>94</v>
      </c>
      <c r="C128" s="6">
        <v>0</v>
      </c>
      <c r="D128" s="57">
        <v>219.75</v>
      </c>
      <c r="E128" s="8">
        <v>550301</v>
      </c>
      <c r="L128" s="57">
        <v>0</v>
      </c>
      <c r="M128" s="8">
        <v>550301</v>
      </c>
      <c r="S128" s="5">
        <v>138.91</v>
      </c>
      <c r="T128" s="8">
        <v>550301</v>
      </c>
      <c r="U128" t="s">
        <v>129</v>
      </c>
    </row>
    <row r="129" spans="1:21" x14ac:dyDescent="0.3">
      <c r="A129" s="2"/>
      <c r="B129" s="51"/>
      <c r="D129" s="57">
        <v>184.5</v>
      </c>
      <c r="E129" s="8">
        <v>550302</v>
      </c>
      <c r="L129" s="57">
        <v>0</v>
      </c>
      <c r="M129" s="8">
        <v>550302</v>
      </c>
      <c r="S129" s="5">
        <v>124.09</v>
      </c>
      <c r="T129" s="8">
        <v>550302</v>
      </c>
      <c r="U129" t="s">
        <v>130</v>
      </c>
    </row>
    <row r="130" spans="1:21" x14ac:dyDescent="0.3">
      <c r="A130" s="2"/>
      <c r="B130" s="51" t="s">
        <v>95</v>
      </c>
      <c r="C130" s="6">
        <f>piletimüük!E9/100*6</f>
        <v>1638.9119999999998</v>
      </c>
      <c r="D130" s="57">
        <v>2500</v>
      </c>
      <c r="E130" s="8">
        <v>552510</v>
      </c>
      <c r="L130" s="57">
        <v>0</v>
      </c>
      <c r="M130" s="8">
        <v>552510</v>
      </c>
      <c r="S130" s="5">
        <v>535.77</v>
      </c>
      <c r="T130" s="8">
        <v>552510</v>
      </c>
      <c r="U130" s="60" t="s">
        <v>96</v>
      </c>
    </row>
    <row r="131" spans="1:21" x14ac:dyDescent="0.3">
      <c r="A131" s="2"/>
      <c r="B131" s="51" t="s">
        <v>97</v>
      </c>
      <c r="C131" s="6">
        <f>piletimüük!E9/100*2</f>
        <v>546.30399999999997</v>
      </c>
    </row>
    <row r="132" spans="1:21" s="73" customFormat="1" x14ac:dyDescent="0.3">
      <c r="A132" s="71"/>
      <c r="B132" s="72"/>
      <c r="C132" s="63">
        <f>SUM(kulud!C117:C131)</f>
        <v>17185.216</v>
      </c>
      <c r="D132" s="64">
        <f>kulud!D121+kulud!D122+kulud!D123+kulud!D124+kulud!D125+kulud!D127+kulud!D128+kulud!D129+kulud!D130</f>
        <v>19491.98</v>
      </c>
      <c r="K132" s="74"/>
      <c r="L132" s="64">
        <f>kulud!L118+kulud!L121+kulud!L122+kulud!L123+kulud!L124</f>
        <v>3314</v>
      </c>
      <c r="M132" s="67" t="s">
        <v>126</v>
      </c>
      <c r="R132" s="74"/>
      <c r="S132" s="68">
        <f>kulud!S121+kulud!S128+kulud!S129+kulud!S130</f>
        <v>634.38</v>
      </c>
      <c r="T132" s="65" t="s">
        <v>126</v>
      </c>
    </row>
    <row r="133" spans="1:21" x14ac:dyDescent="0.3">
      <c r="A133" s="2" t="s">
        <v>131</v>
      </c>
      <c r="B133" s="51" t="s">
        <v>82</v>
      </c>
      <c r="C133" s="6">
        <v>7000</v>
      </c>
      <c r="D133" s="24">
        <v>10000</v>
      </c>
      <c r="L133" s="52">
        <v>4000</v>
      </c>
      <c r="M133" s="53">
        <v>552530</v>
      </c>
      <c r="N133" s="54" t="s">
        <v>132</v>
      </c>
      <c r="O133" s="54"/>
      <c r="P133" s="54"/>
      <c r="T133" s="9"/>
    </row>
    <row r="134" spans="1:21" x14ac:dyDescent="0.3">
      <c r="A134" s="2"/>
      <c r="B134" s="51" t="s">
        <v>83</v>
      </c>
      <c r="C134" s="6">
        <f>(2*2500)+(2*160*piletimüük!C10)</f>
        <v>10760</v>
      </c>
      <c r="D134" s="24">
        <v>0</v>
      </c>
      <c r="L134" s="52"/>
      <c r="M134" s="53"/>
      <c r="N134" s="54"/>
      <c r="O134" s="54"/>
      <c r="P134" s="54"/>
      <c r="T134" s="9"/>
    </row>
    <row r="135" spans="1:21" x14ac:dyDescent="0.3">
      <c r="A135" s="2"/>
      <c r="B135" s="51" t="s">
        <v>86</v>
      </c>
      <c r="C135" s="6">
        <v>3000</v>
      </c>
      <c r="D135" s="24">
        <v>6500</v>
      </c>
      <c r="L135" s="52">
        <v>1350</v>
      </c>
      <c r="M135" s="53">
        <v>552530</v>
      </c>
      <c r="N135" s="54" t="s">
        <v>133</v>
      </c>
      <c r="O135" s="54"/>
      <c r="P135" s="54"/>
      <c r="T135" s="9"/>
    </row>
    <row r="136" spans="1:21" x14ac:dyDescent="0.3">
      <c r="A136" s="55" t="s">
        <v>126</v>
      </c>
      <c r="B136" s="51" t="s">
        <v>87</v>
      </c>
      <c r="C136" s="6">
        <v>0</v>
      </c>
      <c r="D136" s="24">
        <v>0</v>
      </c>
    </row>
    <row r="137" spans="1:21" x14ac:dyDescent="0.3">
      <c r="A137" s="2"/>
      <c r="B137" s="56" t="s">
        <v>88</v>
      </c>
      <c r="E137" s="57">
        <v>13994.11</v>
      </c>
      <c r="F137" s="8">
        <v>552530</v>
      </c>
      <c r="K137" s="69" t="s">
        <v>88</v>
      </c>
      <c r="L137" s="57">
        <v>4055.88</v>
      </c>
      <c r="M137" s="8">
        <v>552530</v>
      </c>
      <c r="N137" t="s">
        <v>134</v>
      </c>
      <c r="S137" s="5">
        <v>142.65</v>
      </c>
      <c r="T137" s="8">
        <v>552530</v>
      </c>
      <c r="U137" t="s">
        <v>135</v>
      </c>
    </row>
    <row r="138" spans="1:21" x14ac:dyDescent="0.3">
      <c r="A138" s="2"/>
      <c r="B138" s="56"/>
      <c r="E138" s="57"/>
      <c r="F138" s="8"/>
      <c r="K138" s="69"/>
      <c r="L138" s="57">
        <v>61.71</v>
      </c>
      <c r="M138" s="8">
        <v>552530</v>
      </c>
      <c r="N138" t="s">
        <v>136</v>
      </c>
    </row>
    <row r="139" spans="1:21" x14ac:dyDescent="0.3">
      <c r="A139" s="2"/>
      <c r="B139" s="56" t="s">
        <v>89</v>
      </c>
      <c r="E139" s="57">
        <v>180</v>
      </c>
      <c r="F139" s="8">
        <v>500500</v>
      </c>
      <c r="L139" s="57">
        <v>1387</v>
      </c>
      <c r="M139" s="8">
        <v>500500</v>
      </c>
      <c r="N139" s="81" t="s">
        <v>126</v>
      </c>
      <c r="O139" s="54"/>
      <c r="T139" s="8"/>
    </row>
    <row r="140" spans="1:21" x14ac:dyDescent="0.3">
      <c r="A140" s="2"/>
      <c r="B140" s="56" t="s">
        <v>90</v>
      </c>
      <c r="E140" s="57">
        <v>59.4</v>
      </c>
      <c r="F140" s="8">
        <v>506000</v>
      </c>
      <c r="L140" s="57">
        <v>457.71</v>
      </c>
      <c r="M140" s="8">
        <v>506000</v>
      </c>
      <c r="N140" s="81" t="s">
        <v>126</v>
      </c>
      <c r="O140" s="54"/>
      <c r="T140" s="8"/>
    </row>
    <row r="141" spans="1:21" x14ac:dyDescent="0.3">
      <c r="A141" s="2"/>
      <c r="B141" s="56" t="s">
        <v>91</v>
      </c>
      <c r="E141" s="57">
        <v>1.44</v>
      </c>
      <c r="F141" s="8">
        <v>506040</v>
      </c>
      <c r="L141" s="57">
        <v>11.1</v>
      </c>
      <c r="M141" s="8">
        <v>506040</v>
      </c>
      <c r="N141" s="81" t="s">
        <v>126</v>
      </c>
      <c r="O141" s="54"/>
      <c r="T141" s="8"/>
    </row>
    <row r="142" spans="1:21" x14ac:dyDescent="0.3">
      <c r="A142" s="2"/>
      <c r="B142" s="56" t="s">
        <v>137</v>
      </c>
      <c r="E142" s="57"/>
      <c r="F142" s="8">
        <v>552520</v>
      </c>
      <c r="L142" s="57">
        <v>69.64</v>
      </c>
      <c r="M142" s="8">
        <v>552520</v>
      </c>
      <c r="N142" t="s">
        <v>138</v>
      </c>
      <c r="T142" s="8"/>
    </row>
    <row r="143" spans="1:21" x14ac:dyDescent="0.3">
      <c r="A143" s="2"/>
      <c r="B143" s="51" t="s">
        <v>92</v>
      </c>
      <c r="C143" s="6">
        <v>10000</v>
      </c>
      <c r="D143" s="24">
        <v>10000</v>
      </c>
    </row>
    <row r="144" spans="1:21" x14ac:dyDescent="0.3">
      <c r="A144" s="2"/>
      <c r="B144" s="51" t="s">
        <v>93</v>
      </c>
      <c r="C144" s="70">
        <v>3000</v>
      </c>
      <c r="D144" s="24">
        <v>3000</v>
      </c>
      <c r="E144" s="57">
        <v>18.36</v>
      </c>
      <c r="F144" s="8">
        <v>552580</v>
      </c>
      <c r="L144" s="57">
        <v>2727.52</v>
      </c>
      <c r="M144" s="8">
        <v>552580</v>
      </c>
      <c r="N144" t="s">
        <v>139</v>
      </c>
      <c r="S144" s="5">
        <v>23.5</v>
      </c>
      <c r="T144" s="8">
        <v>552580</v>
      </c>
      <c r="U144" t="s">
        <v>139</v>
      </c>
    </row>
    <row r="145" spans="1:21" x14ac:dyDescent="0.3">
      <c r="A145" s="2"/>
      <c r="B145" s="51" t="s">
        <v>94</v>
      </c>
      <c r="C145" s="6">
        <v>0</v>
      </c>
      <c r="E145" s="57">
        <v>62.5</v>
      </c>
      <c r="F145" s="8">
        <v>550302</v>
      </c>
      <c r="L145" s="57">
        <v>0</v>
      </c>
      <c r="M145" s="8">
        <v>550302</v>
      </c>
      <c r="S145" s="25">
        <v>481</v>
      </c>
      <c r="T145" s="8">
        <v>550302</v>
      </c>
      <c r="U145" t="s">
        <v>130</v>
      </c>
    </row>
    <row r="146" spans="1:21" x14ac:dyDescent="0.3">
      <c r="A146" s="2"/>
      <c r="B146" s="51" t="s">
        <v>95</v>
      </c>
      <c r="C146" s="6">
        <f>piletimüük!E10/100*6</f>
        <v>1613.3039999999996</v>
      </c>
      <c r="D146" s="24">
        <v>0</v>
      </c>
      <c r="E146" s="57">
        <v>2000</v>
      </c>
      <c r="F146" s="8">
        <v>552510</v>
      </c>
      <c r="L146" s="57">
        <v>3000</v>
      </c>
      <c r="M146" s="8">
        <v>552510</v>
      </c>
      <c r="N146" s="60" t="s">
        <v>96</v>
      </c>
      <c r="S146" s="5">
        <v>149.33000000000001</v>
      </c>
      <c r="T146" s="8">
        <v>552510</v>
      </c>
      <c r="U146" s="60" t="s">
        <v>96</v>
      </c>
    </row>
    <row r="147" spans="1:21" x14ac:dyDescent="0.3">
      <c r="A147" s="2"/>
      <c r="B147" s="51" t="s">
        <v>97</v>
      </c>
      <c r="C147" s="6">
        <f>piletimüük!E10/100*2</f>
        <v>537.76799999999992</v>
      </c>
      <c r="D147" s="24">
        <v>500</v>
      </c>
    </row>
    <row r="148" spans="1:21" s="73" customFormat="1" x14ac:dyDescent="0.3">
      <c r="A148" s="71"/>
      <c r="B148" s="72"/>
      <c r="C148" s="63">
        <f>SUM(kulud!C133:C147)</f>
        <v>35911.071999999993</v>
      </c>
      <c r="D148" s="82">
        <f>SUM(kulud!D133:D147)</f>
        <v>30000</v>
      </c>
      <c r="E148" s="67">
        <f>kulud!E137+kulud!E139+kulud!E140+kulud!E141+kulud!E144+kulud!E145+kulud!E146</f>
        <v>16315.810000000001</v>
      </c>
      <c r="K148" s="74"/>
      <c r="L148" s="64">
        <f>kulud!L133+kulud!L138+kulud!L137+kulud!L139+kulud!L140+kulud!L141+kulud!L142+kulud!L144+kulud!L146+kulud!L135</f>
        <v>17120.559999999998</v>
      </c>
      <c r="M148" s="67" t="s">
        <v>126</v>
      </c>
      <c r="R148" s="74"/>
      <c r="S148" s="68">
        <f>kulud!S137+kulud!S144+kulud!S145+kulud!S146</f>
        <v>796.48</v>
      </c>
      <c r="T148" s="65" t="s">
        <v>126</v>
      </c>
    </row>
    <row r="149" spans="1:21" x14ac:dyDescent="0.3">
      <c r="A149" s="2" t="s">
        <v>140</v>
      </c>
      <c r="B149" s="51" t="s">
        <v>82</v>
      </c>
      <c r="C149" s="6">
        <v>7000</v>
      </c>
      <c r="L149" s="52">
        <v>8000</v>
      </c>
      <c r="M149" s="53">
        <v>552530</v>
      </c>
      <c r="N149" s="54" t="s">
        <v>141</v>
      </c>
      <c r="O149" s="54"/>
      <c r="P149" s="54"/>
      <c r="T149" s="9"/>
    </row>
    <row r="150" spans="1:21" x14ac:dyDescent="0.3">
      <c r="A150" s="2"/>
      <c r="B150" s="51" t="s">
        <v>83</v>
      </c>
      <c r="C150" s="6">
        <v>0</v>
      </c>
      <c r="L150" s="52"/>
      <c r="M150" s="53"/>
      <c r="N150" s="54"/>
      <c r="O150" s="54"/>
      <c r="P150" s="54"/>
      <c r="T150" s="9"/>
    </row>
    <row r="151" spans="1:21" x14ac:dyDescent="0.3">
      <c r="A151" s="2"/>
      <c r="B151" s="51" t="s">
        <v>86</v>
      </c>
      <c r="C151" s="6">
        <v>6000</v>
      </c>
      <c r="L151" s="52">
        <v>5250</v>
      </c>
      <c r="M151" s="53">
        <v>552530</v>
      </c>
      <c r="N151" s="54" t="s">
        <v>142</v>
      </c>
      <c r="O151" s="54"/>
      <c r="P151" s="54"/>
      <c r="T151" s="9"/>
    </row>
    <row r="152" spans="1:21" x14ac:dyDescent="0.3">
      <c r="A152" s="55" t="s">
        <v>126</v>
      </c>
      <c r="B152" s="51" t="s">
        <v>87</v>
      </c>
      <c r="C152" s="6">
        <v>1000</v>
      </c>
    </row>
    <row r="153" spans="1:21" x14ac:dyDescent="0.3">
      <c r="A153" s="2"/>
      <c r="B153" s="56" t="s">
        <v>88</v>
      </c>
      <c r="D153" s="57">
        <v>4721.43</v>
      </c>
      <c r="E153" s="8">
        <v>552530</v>
      </c>
      <c r="K153" s="69" t="s">
        <v>88</v>
      </c>
      <c r="L153" s="57">
        <v>14680.87</v>
      </c>
      <c r="M153" s="8">
        <v>552530</v>
      </c>
      <c r="N153" t="s">
        <v>143</v>
      </c>
      <c r="S153" s="5">
        <v>27.5</v>
      </c>
      <c r="T153" s="8">
        <v>552530</v>
      </c>
      <c r="U153" t="s">
        <v>144</v>
      </c>
    </row>
    <row r="154" spans="1:21" x14ac:dyDescent="0.3">
      <c r="A154" s="2"/>
      <c r="B154" s="56"/>
      <c r="D154" s="57"/>
      <c r="E154" s="8"/>
      <c r="K154" s="69"/>
      <c r="L154" s="57">
        <v>113.41</v>
      </c>
      <c r="M154" s="8">
        <v>552530</v>
      </c>
      <c r="N154" t="s">
        <v>145</v>
      </c>
      <c r="S154" s="5">
        <v>0</v>
      </c>
      <c r="T154" s="8">
        <v>552530</v>
      </c>
    </row>
    <row r="155" spans="1:21" x14ac:dyDescent="0.3">
      <c r="A155" s="2"/>
      <c r="B155" s="56" t="s">
        <v>89</v>
      </c>
      <c r="D155" s="57"/>
      <c r="E155" s="8">
        <v>500500</v>
      </c>
      <c r="M155" s="8"/>
      <c r="N155" s="54"/>
      <c r="T155" s="8"/>
    </row>
    <row r="156" spans="1:21" x14ac:dyDescent="0.3">
      <c r="A156" s="2"/>
      <c r="B156" s="56" t="s">
        <v>90</v>
      </c>
      <c r="D156" s="57"/>
      <c r="E156" s="8">
        <v>506000</v>
      </c>
      <c r="M156" s="8"/>
      <c r="N156" s="54"/>
      <c r="T156" s="8"/>
    </row>
    <row r="157" spans="1:21" x14ac:dyDescent="0.3">
      <c r="A157" s="2"/>
      <c r="B157" s="56" t="s">
        <v>91</v>
      </c>
      <c r="D157" s="57"/>
      <c r="E157" s="8">
        <v>506040</v>
      </c>
      <c r="M157" s="8"/>
      <c r="N157" s="54"/>
      <c r="T157" s="8"/>
    </row>
    <row r="158" spans="1:21" x14ac:dyDescent="0.3">
      <c r="A158" s="2"/>
      <c r="B158" s="56" t="s">
        <v>137</v>
      </c>
      <c r="D158" s="57"/>
      <c r="E158" s="8">
        <v>552520</v>
      </c>
      <c r="L158" s="57">
        <v>13.95</v>
      </c>
      <c r="M158" s="8">
        <v>552520</v>
      </c>
      <c r="N158" s="60" t="s">
        <v>146</v>
      </c>
      <c r="T158" s="8"/>
    </row>
    <row r="159" spans="1:21" x14ac:dyDescent="0.3">
      <c r="A159" s="2"/>
      <c r="B159" s="51" t="s">
        <v>92</v>
      </c>
      <c r="C159" s="6">
        <v>10000</v>
      </c>
      <c r="N159" s="60"/>
    </row>
    <row r="160" spans="1:21" x14ac:dyDescent="0.3">
      <c r="A160" s="2"/>
      <c r="B160" s="51" t="s">
        <v>93</v>
      </c>
      <c r="C160" s="70">
        <v>3000</v>
      </c>
      <c r="L160" s="57">
        <v>2629.36</v>
      </c>
      <c r="M160" s="8">
        <v>552580</v>
      </c>
      <c r="N160" s="60" t="s">
        <v>147</v>
      </c>
      <c r="T160" s="8"/>
    </row>
    <row r="161" spans="1:21" x14ac:dyDescent="0.3">
      <c r="A161" s="2"/>
      <c r="B161" s="51" t="s">
        <v>94</v>
      </c>
      <c r="C161" s="6">
        <v>1000</v>
      </c>
      <c r="N161" s="60"/>
    </row>
    <row r="162" spans="1:21" x14ac:dyDescent="0.3">
      <c r="A162" s="2"/>
      <c r="B162" s="51" t="s">
        <v>95</v>
      </c>
      <c r="C162" s="6">
        <f>piletimüük!E11/100*6</f>
        <v>1405.53</v>
      </c>
      <c r="L162" s="57">
        <v>272</v>
      </c>
      <c r="M162" s="8">
        <v>552510</v>
      </c>
      <c r="N162" s="60" t="s">
        <v>96</v>
      </c>
      <c r="S162" s="5">
        <v>122.9</v>
      </c>
      <c r="T162" s="8">
        <v>552510</v>
      </c>
      <c r="U162" s="60" t="s">
        <v>96</v>
      </c>
    </row>
    <row r="163" spans="1:21" x14ac:dyDescent="0.3">
      <c r="A163" s="2"/>
      <c r="B163" s="51" t="s">
        <v>97</v>
      </c>
      <c r="C163" s="6">
        <f>piletimüük!E11/100*2</f>
        <v>468.51</v>
      </c>
    </row>
    <row r="164" spans="1:21" s="73" customFormat="1" x14ac:dyDescent="0.3">
      <c r="A164" s="71"/>
      <c r="B164" s="72"/>
      <c r="C164" s="63">
        <f>SUM(kulud!C149:C163)</f>
        <v>29874.039999999997</v>
      </c>
      <c r="D164" s="64">
        <f>kulud!D153</f>
        <v>4721.43</v>
      </c>
      <c r="K164" s="74"/>
      <c r="L164" s="64">
        <f>kulud!L149+kulud!L153+kulud!L158+kulud!L160+kulud!L162+kulud!L154+kulud!L151</f>
        <v>30959.590000000004</v>
      </c>
      <c r="M164" s="67" t="s">
        <v>126</v>
      </c>
      <c r="R164" s="74"/>
      <c r="S164" s="68">
        <f>kulud!S153+kulud!S154+kulud!S162</f>
        <v>150.4</v>
      </c>
      <c r="T164" s="65" t="s">
        <v>126</v>
      </c>
    </row>
    <row r="165" spans="1:21" x14ac:dyDescent="0.3">
      <c r="A165" s="2" t="s">
        <v>148</v>
      </c>
      <c r="B165" s="51" t="s">
        <v>82</v>
      </c>
      <c r="C165" s="6">
        <v>2000</v>
      </c>
    </row>
    <row r="166" spans="1:21" x14ac:dyDescent="0.3">
      <c r="A166" s="2"/>
      <c r="B166" s="51" t="s">
        <v>83</v>
      </c>
      <c r="C166" s="6">
        <v>1000</v>
      </c>
    </row>
    <row r="167" spans="1:21" x14ac:dyDescent="0.3">
      <c r="A167" s="2"/>
      <c r="B167" s="51" t="s">
        <v>86</v>
      </c>
      <c r="C167" s="6">
        <v>1000</v>
      </c>
    </row>
    <row r="168" spans="1:21" x14ac:dyDescent="0.3">
      <c r="A168" s="2"/>
      <c r="B168" s="51" t="s">
        <v>87</v>
      </c>
      <c r="C168" s="6">
        <v>0</v>
      </c>
    </row>
    <row r="169" spans="1:21" x14ac:dyDescent="0.3">
      <c r="A169" s="2"/>
      <c r="B169" s="51" t="s">
        <v>92</v>
      </c>
      <c r="C169" s="6">
        <v>3000</v>
      </c>
    </row>
    <row r="170" spans="1:21" x14ac:dyDescent="0.3">
      <c r="A170" s="2"/>
      <c r="B170" s="51" t="s">
        <v>93</v>
      </c>
      <c r="C170" s="70">
        <v>3000</v>
      </c>
    </row>
    <row r="171" spans="1:21" x14ac:dyDescent="0.3">
      <c r="A171" s="2"/>
      <c r="B171" s="51" t="s">
        <v>94</v>
      </c>
      <c r="C171" s="6">
        <v>0</v>
      </c>
    </row>
    <row r="172" spans="1:21" x14ac:dyDescent="0.3">
      <c r="A172" s="2"/>
      <c r="B172" s="51" t="s">
        <v>95</v>
      </c>
      <c r="C172" s="6">
        <f>piletimüük!E12/100*6</f>
        <v>749.6160000000001</v>
      </c>
    </row>
    <row r="173" spans="1:21" x14ac:dyDescent="0.3">
      <c r="A173" s="2"/>
      <c r="B173" s="51" t="s">
        <v>97</v>
      </c>
      <c r="C173" s="6">
        <f>piletimüük!E12/100*2</f>
        <v>249.87200000000004</v>
      </c>
    </row>
    <row r="174" spans="1:21" s="73" customFormat="1" x14ac:dyDescent="0.3">
      <c r="A174" s="71"/>
      <c r="B174" s="72"/>
      <c r="C174" s="63">
        <f>SUM(kulud!C165:C173)</f>
        <v>10999.487999999999</v>
      </c>
      <c r="D174" s="78"/>
      <c r="K174" s="74"/>
      <c r="L174" s="78"/>
      <c r="R174" s="74"/>
      <c r="S174" s="80"/>
    </row>
    <row r="175" spans="1:21" x14ac:dyDescent="0.3">
      <c r="A175" s="2" t="s">
        <v>149</v>
      </c>
      <c r="B175" s="51" t="s">
        <v>82</v>
      </c>
      <c r="C175" s="6">
        <f>piletimüük!E13/100*8</f>
        <v>2179.0080000000003</v>
      </c>
    </row>
    <row r="176" spans="1:21" x14ac:dyDescent="0.3">
      <c r="A176" s="2"/>
      <c r="B176" s="51" t="s">
        <v>83</v>
      </c>
      <c r="C176" s="6">
        <f>(3*piletimüük!C13*170)+4000</f>
        <v>10120</v>
      </c>
    </row>
    <row r="177" spans="1:21" x14ac:dyDescent="0.3">
      <c r="A177" s="55" t="s">
        <v>150</v>
      </c>
      <c r="B177" s="51" t="s">
        <v>86</v>
      </c>
      <c r="C177" s="6">
        <v>10000</v>
      </c>
      <c r="S177" s="5">
        <v>4000</v>
      </c>
      <c r="T177" s="8">
        <v>552530</v>
      </c>
      <c r="U177" t="s">
        <v>151</v>
      </c>
    </row>
    <row r="178" spans="1:21" x14ac:dyDescent="0.3">
      <c r="A178" s="55" t="s">
        <v>126</v>
      </c>
      <c r="B178" s="51" t="s">
        <v>87</v>
      </c>
      <c r="C178" s="6">
        <v>1000</v>
      </c>
      <c r="S178" s="5">
        <v>1000</v>
      </c>
      <c r="T178" s="8">
        <v>552530</v>
      </c>
      <c r="U178" t="s">
        <v>152</v>
      </c>
    </row>
    <row r="179" spans="1:21" x14ac:dyDescent="0.3">
      <c r="A179" s="55"/>
      <c r="B179" s="56" t="s">
        <v>88</v>
      </c>
      <c r="C179" s="6"/>
      <c r="K179" s="69" t="s">
        <v>88</v>
      </c>
      <c r="L179" s="57">
        <v>477.96</v>
      </c>
      <c r="M179" s="8">
        <v>552530</v>
      </c>
      <c r="N179" t="s">
        <v>153</v>
      </c>
      <c r="S179" s="5">
        <v>8398.81</v>
      </c>
      <c r="T179" s="8">
        <v>552530</v>
      </c>
      <c r="U179" t="s">
        <v>154</v>
      </c>
    </row>
    <row r="180" spans="1:21" x14ac:dyDescent="0.3">
      <c r="A180" s="55"/>
      <c r="B180" s="56"/>
      <c r="C180" s="6"/>
      <c r="K180" s="69"/>
      <c r="L180" s="57"/>
      <c r="M180" s="8"/>
      <c r="T180" s="8"/>
    </row>
    <row r="181" spans="1:21" x14ac:dyDescent="0.3">
      <c r="A181" s="2"/>
      <c r="B181" s="51" t="s">
        <v>92</v>
      </c>
      <c r="C181" s="6">
        <v>20000</v>
      </c>
      <c r="S181" s="5">
        <v>10054.799999999999</v>
      </c>
      <c r="T181" s="8">
        <v>552530</v>
      </c>
      <c r="U181" t="s">
        <v>155</v>
      </c>
    </row>
    <row r="182" spans="1:21" x14ac:dyDescent="0.3">
      <c r="A182" s="2"/>
      <c r="B182" s="51"/>
      <c r="C182" s="6"/>
      <c r="S182" s="5">
        <v>10000</v>
      </c>
      <c r="T182" s="8">
        <v>552530</v>
      </c>
      <c r="U182" t="s">
        <v>156</v>
      </c>
    </row>
    <row r="183" spans="1:21" x14ac:dyDescent="0.3">
      <c r="A183" s="2"/>
      <c r="B183" s="51"/>
      <c r="C183" s="6"/>
      <c r="S183" s="5">
        <v>64.5</v>
      </c>
      <c r="T183" s="8">
        <v>552530</v>
      </c>
      <c r="U183" t="s">
        <v>157</v>
      </c>
    </row>
    <row r="184" spans="1:21" x14ac:dyDescent="0.3">
      <c r="A184" s="2"/>
      <c r="B184" s="51"/>
      <c r="C184" s="6"/>
      <c r="S184" s="5">
        <v>54.05</v>
      </c>
      <c r="T184" s="8">
        <v>552530</v>
      </c>
      <c r="U184" t="s">
        <v>158</v>
      </c>
    </row>
    <row r="185" spans="1:21" x14ac:dyDescent="0.3">
      <c r="A185" s="2"/>
      <c r="B185" s="51"/>
      <c r="C185" s="6"/>
      <c r="T185" s="8"/>
    </row>
    <row r="186" spans="1:21" x14ac:dyDescent="0.3">
      <c r="A186" s="2"/>
      <c r="B186" s="51" t="s">
        <v>93</v>
      </c>
      <c r="C186" s="70">
        <v>3000</v>
      </c>
      <c r="S186" s="5">
        <v>1000.39</v>
      </c>
      <c r="T186" s="8">
        <v>552580</v>
      </c>
      <c r="U186" t="s">
        <v>159</v>
      </c>
    </row>
    <row r="187" spans="1:21" x14ac:dyDescent="0.3">
      <c r="A187" s="2"/>
      <c r="B187" s="83" t="s">
        <v>160</v>
      </c>
      <c r="C187" s="70"/>
      <c r="S187" s="5">
        <v>62.57</v>
      </c>
      <c r="T187" s="8">
        <v>505090</v>
      </c>
      <c r="U187" t="s">
        <v>161</v>
      </c>
    </row>
    <row r="188" spans="1:21" x14ac:dyDescent="0.3">
      <c r="A188" s="2"/>
      <c r="B188" s="83"/>
      <c r="C188" s="70"/>
      <c r="S188" s="5">
        <v>336.28</v>
      </c>
      <c r="T188" s="8">
        <v>550040</v>
      </c>
      <c r="U188" t="s">
        <v>161</v>
      </c>
    </row>
    <row r="189" spans="1:21" x14ac:dyDescent="0.3">
      <c r="A189" s="2"/>
      <c r="B189" s="51" t="s">
        <v>94</v>
      </c>
      <c r="C189" s="6">
        <v>0</v>
      </c>
      <c r="S189" s="5">
        <v>4465</v>
      </c>
      <c r="T189" s="8">
        <v>550301</v>
      </c>
      <c r="U189" t="s">
        <v>162</v>
      </c>
    </row>
    <row r="190" spans="1:21" x14ac:dyDescent="0.3">
      <c r="A190" s="2"/>
      <c r="B190" s="51"/>
      <c r="C190" s="6"/>
      <c r="S190" s="5">
        <v>806.01</v>
      </c>
      <c r="T190" s="8">
        <v>554020</v>
      </c>
      <c r="U190" t="s">
        <v>163</v>
      </c>
    </row>
    <row r="191" spans="1:21" x14ac:dyDescent="0.3">
      <c r="A191" s="2"/>
      <c r="B191" s="51" t="s">
        <v>95</v>
      </c>
      <c r="C191" s="6">
        <f>piletimüük!E13/100*6</f>
        <v>1634.2560000000003</v>
      </c>
    </row>
    <row r="192" spans="1:21" x14ac:dyDescent="0.3">
      <c r="A192" s="2"/>
      <c r="B192" s="51" t="s">
        <v>97</v>
      </c>
      <c r="C192" s="6">
        <f>piletimüük!E13/100*2</f>
        <v>544.75200000000007</v>
      </c>
    </row>
    <row r="193" spans="1:23" s="73" customFormat="1" x14ac:dyDescent="0.3">
      <c r="A193" s="71"/>
      <c r="B193" s="72"/>
      <c r="C193" s="63">
        <f>SUM(kulud!C175:C192)</f>
        <v>48478.016000000003</v>
      </c>
      <c r="D193" s="78"/>
      <c r="K193" s="74"/>
      <c r="L193" s="64">
        <f>kulud!L179</f>
        <v>477.96</v>
      </c>
      <c r="M193" s="67" t="s">
        <v>126</v>
      </c>
      <c r="R193" s="74"/>
      <c r="S193" s="68">
        <f>kulud!S177+kulud!S178+kulud!S179+kulud!S181+kulud!S182+kulud!S183+kulud!S184+kulud!S186+kulud!S187+kulud!S188+kulud!S189+kulud!S190</f>
        <v>40242.410000000003</v>
      </c>
      <c r="T193" s="65" t="s">
        <v>126</v>
      </c>
    </row>
    <row r="194" spans="1:23" x14ac:dyDescent="0.3">
      <c r="A194" s="2" t="s">
        <v>164</v>
      </c>
      <c r="B194" s="51" t="s">
        <v>82</v>
      </c>
      <c r="C194" s="6">
        <f>piletimüük!E14/100*8</f>
        <v>963.79200000000014</v>
      </c>
    </row>
    <row r="195" spans="1:23" x14ac:dyDescent="0.3">
      <c r="A195" s="2"/>
      <c r="B195" s="51" t="s">
        <v>83</v>
      </c>
      <c r="C195" s="6">
        <v>0</v>
      </c>
    </row>
    <row r="196" spans="1:23" x14ac:dyDescent="0.3">
      <c r="A196" s="2"/>
      <c r="B196" s="51" t="s">
        <v>86</v>
      </c>
      <c r="C196" s="6">
        <v>5000</v>
      </c>
    </row>
    <row r="197" spans="1:23" x14ac:dyDescent="0.3">
      <c r="A197" s="2"/>
      <c r="B197" s="51" t="s">
        <v>87</v>
      </c>
      <c r="C197" s="6">
        <v>2000</v>
      </c>
    </row>
    <row r="198" spans="1:23" x14ac:dyDescent="0.3">
      <c r="A198" s="2"/>
      <c r="B198" s="51" t="s">
        <v>92</v>
      </c>
      <c r="C198" s="6">
        <v>10000</v>
      </c>
    </row>
    <row r="199" spans="1:23" x14ac:dyDescent="0.3">
      <c r="A199" s="2"/>
      <c r="B199" s="51" t="s">
        <v>93</v>
      </c>
      <c r="C199" s="70">
        <v>3000</v>
      </c>
    </row>
    <row r="200" spans="1:23" x14ac:dyDescent="0.3">
      <c r="A200" s="2"/>
      <c r="B200" s="51" t="s">
        <v>94</v>
      </c>
      <c r="C200" s="6">
        <v>0</v>
      </c>
    </row>
    <row r="201" spans="1:23" x14ac:dyDescent="0.3">
      <c r="A201" s="2"/>
      <c r="B201" s="51" t="s">
        <v>95</v>
      </c>
      <c r="C201" s="6">
        <f>piletimüük!E14/100*6</f>
        <v>722.84400000000005</v>
      </c>
    </row>
    <row r="202" spans="1:23" x14ac:dyDescent="0.3">
      <c r="A202" s="2"/>
      <c r="B202" s="51" t="s">
        <v>97</v>
      </c>
      <c r="C202" s="6">
        <f>piletimüük!E14/100*2</f>
        <v>240.94800000000004</v>
      </c>
    </row>
    <row r="203" spans="1:23" s="73" customFormat="1" x14ac:dyDescent="0.3">
      <c r="A203" s="71"/>
      <c r="B203" s="72"/>
      <c r="C203" s="63">
        <f>SUM(kulud!C194:C202)</f>
        <v>21927.584000000003</v>
      </c>
      <c r="D203" s="78"/>
      <c r="K203" s="74"/>
      <c r="L203" s="78"/>
      <c r="R203" s="74"/>
      <c r="S203" s="80"/>
    </row>
    <row r="204" spans="1:23" x14ac:dyDescent="0.3">
      <c r="A204" s="2" t="s">
        <v>165</v>
      </c>
      <c r="B204" s="51" t="s">
        <v>166</v>
      </c>
      <c r="C204" s="6">
        <v>30000</v>
      </c>
      <c r="D204" s="57">
        <v>10400.98</v>
      </c>
      <c r="E204" s="8">
        <v>551100</v>
      </c>
      <c r="L204" s="57">
        <v>4346.05</v>
      </c>
      <c r="M204" s="8">
        <v>551100</v>
      </c>
      <c r="N204" s="60" t="s">
        <v>167</v>
      </c>
      <c r="S204" s="5">
        <v>1236.03</v>
      </c>
      <c r="T204" s="8">
        <v>551100</v>
      </c>
      <c r="U204" s="60" t="s">
        <v>167</v>
      </c>
    </row>
    <row r="205" spans="1:23" x14ac:dyDescent="0.3">
      <c r="A205" s="2"/>
      <c r="B205" s="51" t="s">
        <v>168</v>
      </c>
      <c r="C205" s="6">
        <v>30000</v>
      </c>
      <c r="D205" s="57">
        <v>7902.03</v>
      </c>
      <c r="E205" s="8">
        <v>551101</v>
      </c>
      <c r="L205" s="57">
        <v>6084.32</v>
      </c>
      <c r="M205" s="8">
        <v>551101</v>
      </c>
      <c r="N205" s="60" t="s">
        <v>169</v>
      </c>
      <c r="S205" s="5">
        <v>5621.25</v>
      </c>
      <c r="T205" s="8">
        <v>551101</v>
      </c>
      <c r="U205" s="60" t="s">
        <v>169</v>
      </c>
    </row>
    <row r="206" spans="1:23" x14ac:dyDescent="0.3">
      <c r="A206" s="2"/>
      <c r="B206" s="51" t="s">
        <v>170</v>
      </c>
      <c r="C206" s="6">
        <v>3000</v>
      </c>
      <c r="D206" s="57">
        <v>1967.48</v>
      </c>
      <c r="E206" s="8">
        <v>551102</v>
      </c>
      <c r="L206" s="57">
        <v>1890.72</v>
      </c>
      <c r="M206" s="8">
        <v>551102</v>
      </c>
      <c r="N206" s="60" t="s">
        <v>171</v>
      </c>
      <c r="S206" s="5">
        <v>2007.88</v>
      </c>
      <c r="T206" s="8">
        <v>551102</v>
      </c>
      <c r="U206" s="60" t="s">
        <v>171</v>
      </c>
    </row>
    <row r="207" spans="1:23" x14ac:dyDescent="0.3">
      <c r="A207" s="2"/>
      <c r="B207" s="51"/>
      <c r="C207" s="6"/>
      <c r="D207" s="57"/>
      <c r="E207" s="8"/>
    </row>
    <row r="208" spans="1:23" x14ac:dyDescent="0.3">
      <c r="A208" s="2"/>
      <c r="B208" s="51" t="s">
        <v>172</v>
      </c>
      <c r="C208" s="6">
        <v>26700</v>
      </c>
      <c r="D208" s="84" t="s">
        <v>173</v>
      </c>
      <c r="E208" s="85" t="s">
        <v>29</v>
      </c>
      <c r="F208" s="86" t="s">
        <v>30</v>
      </c>
      <c r="G208" s="87" t="s">
        <v>174</v>
      </c>
      <c r="H208" s="23" t="s">
        <v>31</v>
      </c>
      <c r="L208" s="84" t="s">
        <v>173</v>
      </c>
      <c r="M208" s="85" t="s">
        <v>29</v>
      </c>
      <c r="N208" s="86" t="s">
        <v>30</v>
      </c>
      <c r="O208" s="87" t="s">
        <v>174</v>
      </c>
      <c r="P208" s="23" t="s">
        <v>31</v>
      </c>
      <c r="S208" s="88" t="s">
        <v>173</v>
      </c>
      <c r="T208" s="85" t="s">
        <v>29</v>
      </c>
      <c r="U208" s="86" t="s">
        <v>30</v>
      </c>
      <c r="V208" s="87" t="s">
        <v>174</v>
      </c>
      <c r="W208" s="23" t="s">
        <v>31</v>
      </c>
    </row>
    <row r="209" spans="1:24" x14ac:dyDescent="0.3">
      <c r="A209" s="2"/>
      <c r="B209" s="51" t="s">
        <v>175</v>
      </c>
      <c r="C209" s="6">
        <v>2000</v>
      </c>
      <c r="D209" s="89">
        <v>551103</v>
      </c>
      <c r="E209" s="84">
        <v>4653.29</v>
      </c>
      <c r="F209" s="90">
        <v>867.85</v>
      </c>
      <c r="G209" s="91">
        <v>0</v>
      </c>
      <c r="H209" s="23">
        <f>kulud!E209-kulud!F209-kulud!G209</f>
        <v>3785.44</v>
      </c>
      <c r="I209" t="s">
        <v>176</v>
      </c>
      <c r="L209" s="89">
        <v>551103</v>
      </c>
      <c r="M209" s="24">
        <v>5323.78</v>
      </c>
      <c r="N209">
        <v>1565.73</v>
      </c>
      <c r="O209" s="42">
        <f>kulud!L290</f>
        <v>959.01</v>
      </c>
      <c r="P209" s="31">
        <f>kulud!M209-kulud!N209-kulud!O209</f>
        <v>2799.04</v>
      </c>
      <c r="S209" s="92">
        <v>551103</v>
      </c>
      <c r="T209" s="24">
        <v>2018.59</v>
      </c>
      <c r="U209">
        <v>438.12</v>
      </c>
      <c r="V209" s="42">
        <v>0</v>
      </c>
      <c r="W209" s="31">
        <f>kulud!T209-kulud!U209-kulud!V209</f>
        <v>1580.4699999999998</v>
      </c>
      <c r="X209" t="s">
        <v>177</v>
      </c>
    </row>
    <row r="210" spans="1:24" x14ac:dyDescent="0.3">
      <c r="A210" s="2"/>
      <c r="B210" s="51" t="s">
        <v>178</v>
      </c>
      <c r="C210" s="6">
        <v>1000</v>
      </c>
      <c r="D210" s="89">
        <v>551104</v>
      </c>
      <c r="E210" s="84">
        <v>6960.54</v>
      </c>
      <c r="F210" s="90">
        <v>274.54000000000002</v>
      </c>
      <c r="G210" s="91">
        <v>150</v>
      </c>
      <c r="H210" s="23">
        <f>kulud!E210-kulud!F210-kulud!G210</f>
        <v>6536</v>
      </c>
      <c r="I210" t="s">
        <v>179</v>
      </c>
      <c r="L210" s="89">
        <v>551104</v>
      </c>
      <c r="M210" s="24">
        <v>4615.67</v>
      </c>
      <c r="N210">
        <v>660.3</v>
      </c>
      <c r="O210" s="42">
        <v>0</v>
      </c>
      <c r="P210" s="31">
        <f>kulud!M210-kulud!N210</f>
        <v>3955.37</v>
      </c>
      <c r="S210" s="92">
        <v>551104</v>
      </c>
      <c r="T210" s="93">
        <v>6274.63</v>
      </c>
      <c r="U210" s="94">
        <v>140.83000000000001</v>
      </c>
      <c r="V210" s="95">
        <f>kulud!S293</f>
        <v>590</v>
      </c>
      <c r="W210" s="31">
        <f>kulud!T210-kulud!U210-kulud!V210</f>
        <v>5543.8</v>
      </c>
      <c r="X210" t="s">
        <v>180</v>
      </c>
    </row>
    <row r="211" spans="1:24" x14ac:dyDescent="0.3">
      <c r="A211" s="2"/>
      <c r="B211" s="51" t="s">
        <v>181</v>
      </c>
      <c r="C211" s="6">
        <v>3000</v>
      </c>
      <c r="D211" s="89">
        <v>551106</v>
      </c>
      <c r="E211" s="96">
        <v>1472.1</v>
      </c>
      <c r="F211" s="97">
        <v>0</v>
      </c>
      <c r="G211" s="98">
        <v>0</v>
      </c>
      <c r="H211" s="23">
        <f>kulud!E211-kulud!F211-kulud!G211</f>
        <v>1472.1</v>
      </c>
      <c r="I211" t="s">
        <v>182</v>
      </c>
      <c r="L211" s="99">
        <v>551106</v>
      </c>
      <c r="M211" s="27">
        <v>11904.35</v>
      </c>
      <c r="N211" s="100">
        <v>0</v>
      </c>
      <c r="O211" s="28">
        <f>kulud!L291+kulud!L292</f>
        <v>10760.15</v>
      </c>
      <c r="P211" s="31">
        <f>kulud!M211-kulud!N211-kulud!O211</f>
        <v>1144.2000000000007</v>
      </c>
      <c r="Q211" s="20" t="s">
        <v>183</v>
      </c>
    </row>
    <row r="212" spans="1:24" x14ac:dyDescent="0.3">
      <c r="A212" s="2"/>
      <c r="B212" s="51" t="s">
        <v>184</v>
      </c>
      <c r="C212" s="6">
        <v>800</v>
      </c>
    </row>
    <row r="213" spans="1:24" x14ac:dyDescent="0.3">
      <c r="A213" s="2"/>
      <c r="B213" s="51" t="s">
        <v>185</v>
      </c>
      <c r="C213" s="6">
        <v>900</v>
      </c>
    </row>
    <row r="214" spans="1:24" x14ac:dyDescent="0.3">
      <c r="A214" s="2"/>
      <c r="B214" s="51" t="s">
        <v>186</v>
      </c>
      <c r="C214" s="6">
        <v>0</v>
      </c>
    </row>
    <row r="215" spans="1:24" x14ac:dyDescent="0.3">
      <c r="A215" s="2"/>
      <c r="B215" s="51" t="s">
        <v>187</v>
      </c>
      <c r="C215" s="6">
        <v>0</v>
      </c>
    </row>
    <row r="216" spans="1:24" x14ac:dyDescent="0.3">
      <c r="A216" s="2"/>
      <c r="B216" s="51" t="s">
        <v>188</v>
      </c>
      <c r="C216" s="6">
        <v>2000</v>
      </c>
    </row>
    <row r="217" spans="1:24" x14ac:dyDescent="0.3">
      <c r="A217" s="2"/>
      <c r="B217" s="51" t="s">
        <v>189</v>
      </c>
      <c r="C217" s="6">
        <v>500</v>
      </c>
      <c r="D217" s="57">
        <v>109.28</v>
      </c>
      <c r="E217" s="9">
        <v>551105</v>
      </c>
      <c r="F217" s="20"/>
      <c r="L217" s="57">
        <v>111.72</v>
      </c>
      <c r="M217" s="9">
        <v>551105</v>
      </c>
      <c r="N217" s="60" t="s">
        <v>190</v>
      </c>
      <c r="S217" s="5">
        <v>111.72</v>
      </c>
      <c r="T217" s="9">
        <v>551105</v>
      </c>
      <c r="U217" s="60" t="s">
        <v>190</v>
      </c>
    </row>
    <row r="218" spans="1:24" x14ac:dyDescent="0.3">
      <c r="A218" s="2"/>
      <c r="B218" s="51" t="s">
        <v>191</v>
      </c>
      <c r="C218" s="6">
        <v>400</v>
      </c>
      <c r="D218" s="57"/>
      <c r="E218" s="20"/>
      <c r="F218" s="20"/>
      <c r="M218" s="20"/>
    </row>
    <row r="219" spans="1:24" x14ac:dyDescent="0.3">
      <c r="A219" s="2"/>
      <c r="B219" s="51" t="s">
        <v>192</v>
      </c>
      <c r="C219" s="6">
        <v>8000</v>
      </c>
      <c r="D219" s="57">
        <v>2618.52</v>
      </c>
      <c r="E219" s="9">
        <v>551108</v>
      </c>
      <c r="L219" s="57">
        <v>2769.78</v>
      </c>
      <c r="M219" s="9">
        <v>551108</v>
      </c>
      <c r="S219" s="5">
        <v>2769.78</v>
      </c>
      <c r="T219" s="9">
        <v>551108</v>
      </c>
      <c r="U219" t="s">
        <v>193</v>
      </c>
    </row>
    <row r="220" spans="1:24" x14ac:dyDescent="0.3">
      <c r="A220" s="2"/>
      <c r="B220" s="51"/>
      <c r="C220" s="6"/>
      <c r="D220" s="57"/>
      <c r="E220" s="9"/>
      <c r="L220" s="57">
        <v>284.19</v>
      </c>
      <c r="M220" s="8">
        <v>551109</v>
      </c>
      <c r="S220" s="5">
        <v>255.32</v>
      </c>
      <c r="T220" s="8">
        <v>551109</v>
      </c>
      <c r="U220" t="s">
        <v>194</v>
      </c>
    </row>
    <row r="221" spans="1:24" x14ac:dyDescent="0.3">
      <c r="A221" s="2"/>
      <c r="B221" s="51" t="s">
        <v>195</v>
      </c>
      <c r="C221" s="6">
        <v>0</v>
      </c>
      <c r="D221" s="57">
        <v>824.85</v>
      </c>
      <c r="E221" s="8">
        <v>551109</v>
      </c>
      <c r="F221" t="s">
        <v>196</v>
      </c>
    </row>
    <row r="222" spans="1:24" x14ac:dyDescent="0.3">
      <c r="A222" s="2"/>
      <c r="B222" s="51" t="s">
        <v>197</v>
      </c>
      <c r="C222" s="6">
        <v>0</v>
      </c>
      <c r="D222" s="57">
        <v>93.658000000000001</v>
      </c>
    </row>
    <row r="223" spans="1:24" x14ac:dyDescent="0.3">
      <c r="A223" s="2"/>
      <c r="B223" s="51" t="s">
        <v>198</v>
      </c>
      <c r="C223" s="6">
        <v>700</v>
      </c>
    </row>
    <row r="224" spans="1:24" x14ac:dyDescent="0.3">
      <c r="A224" s="2"/>
      <c r="B224" s="51" t="s">
        <v>199</v>
      </c>
      <c r="C224" s="6">
        <v>0</v>
      </c>
    </row>
    <row r="225" spans="1:25" x14ac:dyDescent="0.3">
      <c r="A225" s="2"/>
      <c r="B225" s="51" t="s">
        <v>200</v>
      </c>
      <c r="C225" s="6">
        <v>1200</v>
      </c>
    </row>
    <row r="226" spans="1:25" s="73" customFormat="1" x14ac:dyDescent="0.3">
      <c r="A226" s="71"/>
      <c r="B226" s="72"/>
      <c r="C226" s="63">
        <f>SUM(kulud!C204:C225)</f>
        <v>110200</v>
      </c>
      <c r="D226" s="64">
        <f>kulud!D204+kulud!D205+kulud!D206+kulud!H209+kulud!H210+kulud!H211+kulud!D217+kulud!D219+kulud!D221+kulud!D222</f>
        <v>35710.337999999996</v>
      </c>
      <c r="K226" s="74"/>
      <c r="L226" s="64">
        <f>kulud!L204+kulud!L205+kulud!L206+kulud!P209+kulud!P210+kulud!P211+kulud!L217+kulud!L219+kulud!L220</f>
        <v>23385.389999999996</v>
      </c>
      <c r="R226" s="74"/>
      <c r="S226" s="68">
        <f>kulud!S204+kulud!S205+kulud!S206+kulud!W209+kulud!W210+kulud!S217+kulud!S219+kulud!S220</f>
        <v>19126.25</v>
      </c>
    </row>
    <row r="227" spans="1:25" x14ac:dyDescent="0.3">
      <c r="A227" s="2" t="s">
        <v>201</v>
      </c>
      <c r="B227" s="51" t="s">
        <v>202</v>
      </c>
      <c r="C227" s="6">
        <v>1000</v>
      </c>
      <c r="E227" s="21" t="s">
        <v>29</v>
      </c>
      <c r="F227" s="22" t="s">
        <v>30</v>
      </c>
      <c r="G227" s="23" t="s">
        <v>31</v>
      </c>
      <c r="M227" s="21" t="s">
        <v>29</v>
      </c>
      <c r="N227" s="22" t="s">
        <v>30</v>
      </c>
      <c r="O227" s="23" t="s">
        <v>31</v>
      </c>
    </row>
    <row r="228" spans="1:25" x14ac:dyDescent="0.3">
      <c r="A228" s="2"/>
      <c r="B228" s="51"/>
      <c r="D228" s="29">
        <v>550400</v>
      </c>
      <c r="E228" s="101">
        <v>821.2</v>
      </c>
      <c r="F228" s="102">
        <v>156.19999999999999</v>
      </c>
      <c r="G228" s="23">
        <f>kulud!E228-kulud!F228</f>
        <v>665</v>
      </c>
      <c r="L228" s="29">
        <v>550400</v>
      </c>
      <c r="M228">
        <v>10</v>
      </c>
      <c r="N228">
        <v>10</v>
      </c>
      <c r="O228" s="31">
        <f>kulud!M228-kulud!N228</f>
        <v>0</v>
      </c>
      <c r="S228" s="5">
        <v>0</v>
      </c>
      <c r="T228" s="29">
        <v>550400</v>
      </c>
    </row>
    <row r="229" spans="1:25" x14ac:dyDescent="0.3">
      <c r="A229" s="2"/>
      <c r="B229" s="51"/>
      <c r="D229" s="29"/>
      <c r="E229" s="2"/>
      <c r="F229" s="2"/>
      <c r="G229" s="23"/>
    </row>
    <row r="230" spans="1:25" x14ac:dyDescent="0.3">
      <c r="A230" s="2"/>
      <c r="B230" s="51" t="s">
        <v>130</v>
      </c>
      <c r="D230" s="57">
        <v>197.58</v>
      </c>
      <c r="E230" s="8">
        <v>550420</v>
      </c>
      <c r="F230" s="60"/>
      <c r="G230" s="31"/>
      <c r="L230" s="57">
        <v>278.73</v>
      </c>
      <c r="M230" s="8">
        <v>550420</v>
      </c>
      <c r="N230" s="60" t="s">
        <v>203</v>
      </c>
    </row>
    <row r="231" spans="1:25" x14ac:dyDescent="0.3">
      <c r="A231" s="2"/>
      <c r="B231" s="51"/>
      <c r="D231" s="49"/>
      <c r="E231" s="60"/>
      <c r="F231" s="60"/>
      <c r="G231" s="31"/>
      <c r="L231" s="57">
        <v>115</v>
      </c>
      <c r="M231" s="8">
        <v>550490</v>
      </c>
      <c r="N231" s="60" t="s">
        <v>204</v>
      </c>
    </row>
    <row r="232" spans="1:25" x14ac:dyDescent="0.3">
      <c r="A232" s="2"/>
      <c r="B232" s="56" t="s">
        <v>205</v>
      </c>
      <c r="D232" s="57">
        <v>280</v>
      </c>
      <c r="E232" s="8">
        <v>550401</v>
      </c>
      <c r="F232" s="60"/>
      <c r="G232" s="31"/>
      <c r="L232" s="57">
        <v>99</v>
      </c>
      <c r="M232" s="8">
        <v>550401</v>
      </c>
      <c r="N232" s="60" t="s">
        <v>206</v>
      </c>
      <c r="S232" s="5">
        <v>0</v>
      </c>
      <c r="T232" s="8">
        <v>550401</v>
      </c>
    </row>
    <row r="233" spans="1:25" x14ac:dyDescent="0.3">
      <c r="A233" s="2"/>
      <c r="B233" s="51"/>
      <c r="D233" s="57">
        <v>15</v>
      </c>
      <c r="E233" s="8">
        <v>550480</v>
      </c>
      <c r="F233" s="60"/>
      <c r="G233" s="31"/>
      <c r="L233" s="57">
        <v>0</v>
      </c>
      <c r="M233" s="8">
        <v>550480</v>
      </c>
      <c r="N233" s="60"/>
      <c r="T233" s="21" t="s">
        <v>29</v>
      </c>
      <c r="U233" s="103" t="s">
        <v>207</v>
      </c>
      <c r="V233" s="103" t="s">
        <v>208</v>
      </c>
      <c r="W233" s="103" t="s">
        <v>209</v>
      </c>
      <c r="X233" s="22" t="s">
        <v>210</v>
      </c>
      <c r="Y233" s="23" t="s">
        <v>31</v>
      </c>
    </row>
    <row r="234" spans="1:25" x14ac:dyDescent="0.3">
      <c r="A234" s="2"/>
      <c r="B234" s="51" t="s">
        <v>211</v>
      </c>
      <c r="C234" s="6">
        <v>8000</v>
      </c>
      <c r="D234" s="57">
        <v>1820.05</v>
      </c>
      <c r="E234" s="8">
        <v>550040</v>
      </c>
      <c r="L234" s="57">
        <v>893.16</v>
      </c>
      <c r="M234" s="8">
        <v>550040</v>
      </c>
      <c r="N234" s="60"/>
      <c r="S234" s="19">
        <v>550040</v>
      </c>
      <c r="T234" s="93">
        <v>1861.26</v>
      </c>
      <c r="U234" s="94">
        <f>kulud!S398</f>
        <v>1073.48</v>
      </c>
      <c r="V234" s="94">
        <f>kulud!S188</f>
        <v>336.28</v>
      </c>
      <c r="W234" s="94">
        <f>kulud!S335</f>
        <v>104.83</v>
      </c>
      <c r="X234" s="95">
        <f>kulud!S340</f>
        <v>100</v>
      </c>
      <c r="Y234" s="31">
        <f>kulud!T234-kulud!U234-kulud!V234-kulud!W234-kulud!X234</f>
        <v>246.67000000000002</v>
      </c>
    </row>
    <row r="235" spans="1:25" x14ac:dyDescent="0.3">
      <c r="A235" s="2"/>
      <c r="B235" s="51" t="s">
        <v>212</v>
      </c>
      <c r="C235" s="6"/>
      <c r="D235" s="57">
        <v>248.1</v>
      </c>
      <c r="E235" s="8">
        <v>505090</v>
      </c>
      <c r="L235" s="57">
        <v>189.69</v>
      </c>
      <c r="M235" s="8">
        <v>505090</v>
      </c>
      <c r="N235" s="60"/>
      <c r="T235" s="8"/>
    </row>
    <row r="236" spans="1:25" x14ac:dyDescent="0.3">
      <c r="A236" s="2"/>
      <c r="B236" s="51"/>
      <c r="C236" s="6"/>
      <c r="D236" s="57"/>
      <c r="E236" s="8"/>
      <c r="L236" s="57">
        <v>216</v>
      </c>
      <c r="M236" s="8">
        <v>552520</v>
      </c>
      <c r="N236" t="s">
        <v>213</v>
      </c>
    </row>
    <row r="237" spans="1:25" x14ac:dyDescent="0.3">
      <c r="A237" s="2"/>
      <c r="B237" s="51"/>
      <c r="C237" s="6"/>
      <c r="D237" s="57"/>
      <c r="E237" s="8"/>
    </row>
    <row r="238" spans="1:25" x14ac:dyDescent="0.3">
      <c r="A238" s="2"/>
      <c r="B238" s="51" t="s">
        <v>214</v>
      </c>
      <c r="C238" s="6">
        <v>2500</v>
      </c>
      <c r="E238" s="21" t="s">
        <v>29</v>
      </c>
      <c r="F238" s="22" t="s">
        <v>30</v>
      </c>
      <c r="G238" s="23" t="s">
        <v>31</v>
      </c>
      <c r="M238" s="21" t="s">
        <v>29</v>
      </c>
      <c r="N238" s="22" t="s">
        <v>30</v>
      </c>
      <c r="O238" s="23" t="s">
        <v>31</v>
      </c>
      <c r="S238" s="5">
        <v>21.68</v>
      </c>
      <c r="T238" s="8">
        <v>552230</v>
      </c>
      <c r="U238" t="s">
        <v>215</v>
      </c>
    </row>
    <row r="239" spans="1:25" x14ac:dyDescent="0.3">
      <c r="A239" s="2"/>
      <c r="B239" s="51"/>
      <c r="D239" s="29">
        <v>552230</v>
      </c>
      <c r="E239" s="27">
        <v>34.5</v>
      </c>
      <c r="F239" s="28">
        <v>15</v>
      </c>
      <c r="G239" s="23">
        <f>kulud!E239-kulud!F239</f>
        <v>19.5</v>
      </c>
      <c r="L239" s="29">
        <v>552230</v>
      </c>
      <c r="M239">
        <v>50</v>
      </c>
      <c r="N239">
        <v>50</v>
      </c>
      <c r="O239" s="31">
        <f>kulud!M239-kulud!N239</f>
        <v>0</v>
      </c>
    </row>
    <row r="240" spans="1:25" x14ac:dyDescent="0.3">
      <c r="A240" s="2"/>
      <c r="B240" s="51"/>
      <c r="D240" s="29"/>
      <c r="E240" s="104"/>
      <c r="F240" s="104"/>
      <c r="G240" s="23"/>
    </row>
    <row r="241" spans="1:25" x14ac:dyDescent="0.3">
      <c r="A241" s="2"/>
      <c r="B241" s="51" t="s">
        <v>216</v>
      </c>
      <c r="C241" s="6">
        <v>2000</v>
      </c>
      <c r="D241" s="57">
        <v>55.77</v>
      </c>
      <c r="E241" s="8">
        <v>550041</v>
      </c>
      <c r="L241" s="57">
        <v>82.73</v>
      </c>
      <c r="M241" s="8">
        <v>550041</v>
      </c>
      <c r="S241" s="5">
        <v>123.18</v>
      </c>
      <c r="T241" s="8">
        <v>550041</v>
      </c>
      <c r="U241" t="s">
        <v>217</v>
      </c>
    </row>
    <row r="242" spans="1:25" x14ac:dyDescent="0.3">
      <c r="A242" s="2"/>
      <c r="B242" s="51"/>
      <c r="C242" s="6"/>
      <c r="D242" s="57"/>
      <c r="E242" s="8"/>
    </row>
    <row r="243" spans="1:25" x14ac:dyDescent="0.3">
      <c r="A243" s="2"/>
      <c r="B243" s="56" t="s">
        <v>218</v>
      </c>
      <c r="D243" s="57"/>
      <c r="E243" s="21" t="s">
        <v>29</v>
      </c>
      <c r="F243" s="22" t="s">
        <v>30</v>
      </c>
      <c r="G243" s="23" t="s">
        <v>31</v>
      </c>
      <c r="M243" s="21" t="s">
        <v>29</v>
      </c>
      <c r="N243" s="22" t="s">
        <v>30</v>
      </c>
      <c r="O243" s="23" t="s">
        <v>31</v>
      </c>
      <c r="V243" s="1"/>
      <c r="W243" s="40"/>
      <c r="X243" s="40"/>
      <c r="Y243" s="23"/>
    </row>
    <row r="244" spans="1:25" x14ac:dyDescent="0.3">
      <c r="A244" s="2"/>
      <c r="B244" s="56"/>
      <c r="D244" s="29">
        <v>550052</v>
      </c>
      <c r="E244" s="93">
        <v>65.33</v>
      </c>
      <c r="F244" s="95">
        <v>51.54</v>
      </c>
      <c r="G244" s="23">
        <f>kulud!E244-kulud!F244</f>
        <v>13.79</v>
      </c>
      <c r="L244" s="29">
        <v>550052</v>
      </c>
      <c r="M244">
        <v>2162.65</v>
      </c>
      <c r="N244">
        <v>120.98</v>
      </c>
      <c r="O244" s="31">
        <f>kulud!M244-kulud!N244</f>
        <v>2041.67</v>
      </c>
      <c r="S244" s="5">
        <v>253.42</v>
      </c>
      <c r="T244" s="8">
        <v>550052</v>
      </c>
      <c r="U244" t="s">
        <v>219</v>
      </c>
      <c r="V244" s="105"/>
      <c r="Y244" s="31"/>
    </row>
    <row r="245" spans="1:25" x14ac:dyDescent="0.3">
      <c r="A245" s="2"/>
      <c r="B245" s="56"/>
      <c r="D245" s="29"/>
      <c r="E245" s="1"/>
      <c r="F245" s="1"/>
      <c r="G245" s="23"/>
      <c r="N245" s="60"/>
    </row>
    <row r="246" spans="1:25" x14ac:dyDescent="0.3">
      <c r="A246" s="2"/>
      <c r="B246" s="56" t="s">
        <v>220</v>
      </c>
      <c r="D246" s="57">
        <v>285</v>
      </c>
      <c r="E246" s="8">
        <v>550302</v>
      </c>
      <c r="F246" s="8" t="s">
        <v>221</v>
      </c>
      <c r="L246" s="57">
        <v>80</v>
      </c>
      <c r="M246" s="8">
        <v>550402</v>
      </c>
      <c r="N246" s="60" t="s">
        <v>222</v>
      </c>
    </row>
    <row r="247" spans="1:25" x14ac:dyDescent="0.3">
      <c r="A247" s="2"/>
      <c r="B247" s="56"/>
      <c r="D247" s="57"/>
      <c r="E247" s="8"/>
      <c r="F247" s="8"/>
      <c r="L247" s="57">
        <v>322.5</v>
      </c>
      <c r="M247" s="9">
        <v>550410</v>
      </c>
      <c r="N247" s="81" t="s">
        <v>223</v>
      </c>
    </row>
    <row r="248" spans="1:25" x14ac:dyDescent="0.3">
      <c r="A248" s="2"/>
      <c r="B248" s="106" t="s">
        <v>224</v>
      </c>
      <c r="C248" s="107">
        <v>1000</v>
      </c>
      <c r="D248" s="108"/>
      <c r="E248" s="109"/>
      <c r="F248" s="109"/>
      <c r="G248" s="109"/>
      <c r="J248" s="109" t="s">
        <v>224</v>
      </c>
    </row>
    <row r="249" spans="1:25" x14ac:dyDescent="0.3">
      <c r="A249" s="2"/>
      <c r="B249" s="106" t="s">
        <v>89</v>
      </c>
      <c r="C249" s="107"/>
      <c r="D249" s="108">
        <v>3900.75</v>
      </c>
      <c r="E249" s="110">
        <v>500500</v>
      </c>
      <c r="F249" s="109" t="s">
        <v>225</v>
      </c>
      <c r="G249" s="109"/>
      <c r="L249" s="108">
        <v>3032</v>
      </c>
      <c r="M249" s="110">
        <v>500500</v>
      </c>
      <c r="N249" s="111" t="s">
        <v>89</v>
      </c>
    </row>
    <row r="250" spans="1:25" x14ac:dyDescent="0.3">
      <c r="A250" s="2"/>
      <c r="B250" s="106" t="s">
        <v>90</v>
      </c>
      <c r="C250" s="107"/>
      <c r="D250" s="108">
        <v>1287.29</v>
      </c>
      <c r="E250" s="110">
        <v>506000</v>
      </c>
      <c r="F250" s="109"/>
      <c r="G250" s="109"/>
      <c r="L250" s="108">
        <v>1000.61</v>
      </c>
      <c r="M250" s="110">
        <v>506000</v>
      </c>
      <c r="N250" s="111" t="s">
        <v>90</v>
      </c>
    </row>
    <row r="251" spans="1:25" x14ac:dyDescent="0.3">
      <c r="A251" s="2"/>
      <c r="B251" s="106" t="s">
        <v>91</v>
      </c>
      <c r="C251" s="107"/>
      <c r="D251" s="108">
        <v>31.24</v>
      </c>
      <c r="E251" s="110">
        <v>506040</v>
      </c>
      <c r="F251" s="109"/>
      <c r="G251" s="109"/>
      <c r="L251" s="108">
        <v>24.27</v>
      </c>
      <c r="M251" s="110">
        <v>506040</v>
      </c>
      <c r="N251" s="111" t="s">
        <v>91</v>
      </c>
    </row>
    <row r="252" spans="1:25" x14ac:dyDescent="0.3">
      <c r="A252" s="2"/>
      <c r="B252" s="106"/>
      <c r="C252" s="107"/>
      <c r="D252" s="108"/>
      <c r="E252" s="110"/>
      <c r="F252" s="109"/>
      <c r="G252" s="109"/>
    </row>
    <row r="253" spans="1:25" s="65" customFormat="1" x14ac:dyDescent="0.3">
      <c r="A253" s="61"/>
      <c r="B253" s="62"/>
      <c r="C253" s="63">
        <f>SUM(kulud!C227:C248)</f>
        <v>14500</v>
      </c>
      <c r="D253" s="64">
        <f>kulud!G228+kulud!D230+kulud!D232+kulud!D233+kulud!D234+kulud!D235+kulud!G239+kulud!D241+kulud!G244+kulud!D246</f>
        <v>3599.79</v>
      </c>
      <c r="K253" s="66"/>
      <c r="L253" s="64">
        <f>kulud!O228+kulud!L230+kulud!L231+kulud!L232+kulud!L234+kulud!L235+kulud!L236+kulud!O239+kulud!L241+kulud!O244+kulud!L246+kulud!L247</f>
        <v>4318.4799999999996</v>
      </c>
      <c r="R253" s="66"/>
      <c r="S253" s="68">
        <f>kulud!S228+kulud!Y234+kulud!S238+kulud!S241+kulud!S244</f>
        <v>644.95000000000005</v>
      </c>
    </row>
    <row r="254" spans="1:25" x14ac:dyDescent="0.3">
      <c r="A254" s="2" t="s">
        <v>226</v>
      </c>
      <c r="B254" s="51" t="s">
        <v>227</v>
      </c>
      <c r="C254" s="6">
        <v>4500</v>
      </c>
      <c r="D254" s="57">
        <v>1195.5</v>
      </c>
      <c r="E254" s="8">
        <v>550010</v>
      </c>
      <c r="L254" s="57">
        <v>1019.14</v>
      </c>
      <c r="M254" s="8">
        <v>550010</v>
      </c>
      <c r="S254" s="5">
        <v>967.24</v>
      </c>
      <c r="T254" s="8">
        <v>550010</v>
      </c>
      <c r="U254" t="s">
        <v>228</v>
      </c>
    </row>
    <row r="255" spans="1:25" x14ac:dyDescent="0.3">
      <c r="A255" s="2"/>
      <c r="B255" s="51" t="s">
        <v>229</v>
      </c>
      <c r="C255" s="6">
        <v>2000</v>
      </c>
      <c r="D255" s="57">
        <v>300</v>
      </c>
      <c r="E255" s="8">
        <v>550099</v>
      </c>
      <c r="L255" s="57">
        <v>0</v>
      </c>
      <c r="M255" s="8">
        <v>550099</v>
      </c>
    </row>
    <row r="256" spans="1:25" x14ac:dyDescent="0.3">
      <c r="A256" s="2"/>
      <c r="B256" s="56" t="s">
        <v>230</v>
      </c>
      <c r="D256" s="57">
        <v>220</v>
      </c>
      <c r="E256" s="8">
        <v>550060</v>
      </c>
      <c r="L256" s="57">
        <v>0</v>
      </c>
      <c r="M256" s="8">
        <v>550060</v>
      </c>
      <c r="S256" s="5">
        <v>0</v>
      </c>
      <c r="T256" s="8">
        <v>550060</v>
      </c>
    </row>
    <row r="257" spans="1:25" x14ac:dyDescent="0.3">
      <c r="A257" s="2"/>
      <c r="B257" s="51"/>
    </row>
    <row r="258" spans="1:25" x14ac:dyDescent="0.3">
      <c r="A258" s="2"/>
      <c r="B258" s="51" t="s">
        <v>231</v>
      </c>
      <c r="C258" s="6">
        <v>2000</v>
      </c>
      <c r="D258" s="57">
        <v>134.34</v>
      </c>
      <c r="E258" s="8">
        <v>550000</v>
      </c>
      <c r="L258" s="57">
        <v>214.26</v>
      </c>
      <c r="M258" s="8">
        <v>550000</v>
      </c>
      <c r="S258" s="5">
        <v>139.18</v>
      </c>
      <c r="T258" s="8">
        <v>550000</v>
      </c>
      <c r="U258" t="s">
        <v>231</v>
      </c>
    </row>
    <row r="259" spans="1:25" x14ac:dyDescent="0.3">
      <c r="A259" s="2"/>
      <c r="B259" s="51"/>
      <c r="C259" s="6"/>
      <c r="D259" s="57"/>
      <c r="E259" s="8"/>
      <c r="L259" s="57"/>
      <c r="M259" s="8"/>
      <c r="S259" s="5">
        <v>5.12</v>
      </c>
      <c r="T259" s="8">
        <v>550001</v>
      </c>
      <c r="U259" t="s">
        <v>232</v>
      </c>
    </row>
    <row r="260" spans="1:25" x14ac:dyDescent="0.3">
      <c r="A260" s="2"/>
      <c r="B260" s="51" t="s">
        <v>233</v>
      </c>
      <c r="C260" s="6">
        <v>0</v>
      </c>
      <c r="L260" s="57">
        <v>950</v>
      </c>
      <c r="M260" s="8">
        <v>550050</v>
      </c>
      <c r="N260" s="60" t="s">
        <v>234</v>
      </c>
      <c r="S260" s="5">
        <v>0</v>
      </c>
      <c r="T260" s="8">
        <v>550050</v>
      </c>
    </row>
    <row r="261" spans="1:25" x14ac:dyDescent="0.3">
      <c r="A261" s="2"/>
      <c r="B261" s="56" t="s">
        <v>235</v>
      </c>
      <c r="D261" s="57">
        <v>16.04</v>
      </c>
      <c r="E261" s="8">
        <v>550011</v>
      </c>
      <c r="L261" s="57">
        <v>0</v>
      </c>
      <c r="M261" s="8">
        <v>550011</v>
      </c>
      <c r="S261" s="5">
        <v>40.85</v>
      </c>
      <c r="T261" s="8">
        <v>550011</v>
      </c>
      <c r="U261" t="s">
        <v>235</v>
      </c>
    </row>
    <row r="262" spans="1:25" x14ac:dyDescent="0.3">
      <c r="A262" s="2"/>
      <c r="B262" s="56"/>
      <c r="D262" s="57"/>
      <c r="E262" s="8"/>
    </row>
    <row r="263" spans="1:25" x14ac:dyDescent="0.3">
      <c r="A263" s="2"/>
      <c r="B263" s="51" t="s">
        <v>236</v>
      </c>
      <c r="C263" s="6">
        <v>2500</v>
      </c>
      <c r="E263" s="21" t="s">
        <v>29</v>
      </c>
      <c r="F263" s="22" t="s">
        <v>30</v>
      </c>
      <c r="G263" s="23" t="s">
        <v>31</v>
      </c>
      <c r="M263" s="21" t="s">
        <v>29</v>
      </c>
      <c r="N263" s="22" t="s">
        <v>30</v>
      </c>
      <c r="O263" s="23" t="s">
        <v>31</v>
      </c>
      <c r="V263" s="1"/>
      <c r="W263" s="40"/>
      <c r="X263" s="40"/>
      <c r="Y263" s="23"/>
    </row>
    <row r="264" spans="1:25" x14ac:dyDescent="0.3">
      <c r="A264" s="2"/>
      <c r="B264" s="51"/>
      <c r="D264" s="29">
        <v>550012</v>
      </c>
      <c r="E264" s="93">
        <v>1455.8</v>
      </c>
      <c r="F264" s="95">
        <v>745.44</v>
      </c>
      <c r="G264" s="23">
        <f>kulud!E264-kulud!F264</f>
        <v>710.3599999999999</v>
      </c>
      <c r="L264" s="29">
        <v>550012</v>
      </c>
      <c r="M264" s="93">
        <v>840.05</v>
      </c>
      <c r="N264" s="95">
        <v>517.85</v>
      </c>
      <c r="O264" s="31">
        <f>kulud!M264-kulud!N264</f>
        <v>322.19999999999993</v>
      </c>
      <c r="S264" s="5">
        <v>272.45999999999998</v>
      </c>
      <c r="T264" s="8">
        <v>550012</v>
      </c>
      <c r="U264" t="s">
        <v>236</v>
      </c>
      <c r="V264" s="105"/>
      <c r="W264" s="1"/>
      <c r="X264" s="1"/>
      <c r="Y264" s="31"/>
    </row>
    <row r="265" spans="1:25" x14ac:dyDescent="0.3">
      <c r="A265" s="2"/>
      <c r="B265" s="51"/>
      <c r="D265" s="29"/>
      <c r="E265" s="93"/>
      <c r="F265" s="95"/>
      <c r="G265" s="23"/>
      <c r="L265" s="29"/>
      <c r="O265" s="31"/>
    </row>
    <row r="266" spans="1:25" x14ac:dyDescent="0.3">
      <c r="A266" s="2"/>
      <c r="B266" s="51" t="s">
        <v>237</v>
      </c>
      <c r="C266" s="6">
        <v>2500</v>
      </c>
      <c r="E266" s="8">
        <v>550051</v>
      </c>
      <c r="L266" s="57">
        <v>2300</v>
      </c>
      <c r="M266" s="8">
        <v>550051</v>
      </c>
      <c r="N266" s="60" t="s">
        <v>238</v>
      </c>
      <c r="O266" s="60"/>
      <c r="S266" s="5">
        <v>0</v>
      </c>
      <c r="T266" s="8">
        <v>550051</v>
      </c>
    </row>
    <row r="267" spans="1:25" x14ac:dyDescent="0.3">
      <c r="A267" s="2"/>
      <c r="B267" s="51"/>
      <c r="C267" s="6"/>
    </row>
    <row r="268" spans="1:25" x14ac:dyDescent="0.3">
      <c r="A268" s="2"/>
      <c r="B268" s="51" t="s">
        <v>239</v>
      </c>
      <c r="C268" s="6">
        <v>1000</v>
      </c>
      <c r="D268" s="57">
        <v>330.2</v>
      </c>
      <c r="E268" s="8">
        <v>550099</v>
      </c>
      <c r="L268" s="57">
        <v>397.5</v>
      </c>
      <c r="M268" s="8">
        <v>550099</v>
      </c>
      <c r="S268" s="5">
        <v>281.7</v>
      </c>
      <c r="T268" s="8">
        <v>550099</v>
      </c>
      <c r="U268" t="s">
        <v>240</v>
      </c>
    </row>
    <row r="269" spans="1:25" x14ac:dyDescent="0.3">
      <c r="A269" s="2"/>
      <c r="B269" s="51" t="s">
        <v>241</v>
      </c>
      <c r="C269" s="6">
        <v>500</v>
      </c>
    </row>
    <row r="270" spans="1:25" s="65" customFormat="1" x14ac:dyDescent="0.3">
      <c r="A270" s="61"/>
      <c r="B270" s="62"/>
      <c r="C270" s="63">
        <f>SUM(kulud!C254:C269)</f>
        <v>15000</v>
      </c>
      <c r="D270" s="64">
        <f>kulud!D254+kulud!D255+kulud!D256+kulud!D258+kulud!D261+kulud!G264+kulud!D268</f>
        <v>2906.4399999999996</v>
      </c>
      <c r="K270" s="66"/>
      <c r="L270" s="64">
        <f>kulud!L254+kulud!L255+kulud!L256+kulud!L258+kulud!L260+kulud!L261+kulud!O264+kulud!L266+kulud!L268</f>
        <v>5203.1000000000004</v>
      </c>
      <c r="R270" s="66"/>
      <c r="S270" s="68">
        <f>kulud!S254+kulud!S256+kulud!S258+kulud!S259+kulud!S260+kulud!S261+kulud!S264+kulud!S266+kulud!S268</f>
        <v>1706.55</v>
      </c>
    </row>
    <row r="271" spans="1:25" x14ac:dyDescent="0.3">
      <c r="A271" s="2" t="s">
        <v>242</v>
      </c>
      <c r="B271" s="51" t="s">
        <v>243</v>
      </c>
      <c r="C271" s="6">
        <v>5000</v>
      </c>
      <c r="D271" s="57">
        <v>70</v>
      </c>
      <c r="E271" s="8">
        <v>551400</v>
      </c>
      <c r="J271" s="8"/>
      <c r="L271" s="57">
        <v>0</v>
      </c>
      <c r="M271" s="8">
        <v>551400</v>
      </c>
      <c r="N271" s="53"/>
      <c r="S271" s="5">
        <v>245</v>
      </c>
      <c r="T271" s="8">
        <v>551400</v>
      </c>
      <c r="U271" t="s">
        <v>243</v>
      </c>
      <c r="V271" s="112" t="s">
        <v>244</v>
      </c>
    </row>
    <row r="272" spans="1:25" x14ac:dyDescent="0.3">
      <c r="A272" s="2"/>
      <c r="B272" s="51"/>
      <c r="M272" s="8"/>
      <c r="S272" s="5">
        <v>47</v>
      </c>
      <c r="T272" s="8">
        <v>551460</v>
      </c>
      <c r="U272" t="s">
        <v>245</v>
      </c>
    </row>
    <row r="273" spans="1:21" ht="25.2" customHeight="1" x14ac:dyDescent="0.3">
      <c r="A273" s="2"/>
      <c r="B273" s="51"/>
      <c r="D273" s="57">
        <v>2394.41</v>
      </c>
      <c r="E273" s="8">
        <v>551480</v>
      </c>
      <c r="L273" s="57">
        <v>2065.29</v>
      </c>
      <c r="M273" s="8">
        <v>551480</v>
      </c>
      <c r="N273" s="113" t="s">
        <v>246</v>
      </c>
      <c r="S273" s="5">
        <v>2073.16</v>
      </c>
      <c r="T273" s="8">
        <v>551480</v>
      </c>
      <c r="U273" s="113" t="s">
        <v>246</v>
      </c>
    </row>
    <row r="274" spans="1:21" x14ac:dyDescent="0.3">
      <c r="A274" s="2"/>
      <c r="B274" s="51"/>
      <c r="D274" s="114">
        <v>1775</v>
      </c>
      <c r="E274" s="11">
        <v>551485</v>
      </c>
      <c r="L274" s="57">
        <v>0</v>
      </c>
      <c r="M274" s="9">
        <v>551485</v>
      </c>
    </row>
    <row r="275" spans="1:21" x14ac:dyDescent="0.3">
      <c r="A275" s="2"/>
      <c r="B275" s="51" t="s">
        <v>247</v>
      </c>
      <c r="C275" s="6">
        <v>3000</v>
      </c>
      <c r="D275" s="57">
        <v>1592.27</v>
      </c>
      <c r="E275" s="8">
        <v>551460</v>
      </c>
      <c r="L275" s="57">
        <v>2252.2399999999998</v>
      </c>
      <c r="M275" s="8">
        <v>551460</v>
      </c>
      <c r="N275" s="60" t="s">
        <v>248</v>
      </c>
      <c r="S275" s="5">
        <v>1506</v>
      </c>
      <c r="T275" s="8">
        <v>551460</v>
      </c>
      <c r="U275" s="60" t="s">
        <v>249</v>
      </c>
    </row>
    <row r="276" spans="1:21" x14ac:dyDescent="0.3">
      <c r="A276" s="2"/>
      <c r="B276" s="51" t="s">
        <v>250</v>
      </c>
      <c r="C276" s="6">
        <f>600*12</f>
        <v>7200</v>
      </c>
      <c r="D276" s="57">
        <v>1575</v>
      </c>
      <c r="E276" s="8">
        <v>551410</v>
      </c>
      <c r="J276" s="8" t="s">
        <v>251</v>
      </c>
      <c r="L276" s="57">
        <v>998</v>
      </c>
      <c r="M276" s="8">
        <v>551410</v>
      </c>
      <c r="N276" s="60" t="s">
        <v>252</v>
      </c>
      <c r="S276" s="5">
        <v>408.33</v>
      </c>
      <c r="T276" s="8">
        <v>551460</v>
      </c>
      <c r="U276" t="s">
        <v>253</v>
      </c>
    </row>
    <row r="277" spans="1:21" x14ac:dyDescent="0.3">
      <c r="A277" s="2"/>
      <c r="B277" s="51"/>
      <c r="C277" s="6"/>
      <c r="D277" s="57"/>
      <c r="E277" s="8"/>
      <c r="J277" s="8"/>
      <c r="L277" s="57">
        <v>55.55</v>
      </c>
      <c r="M277" s="8">
        <v>551410</v>
      </c>
      <c r="N277" s="60" t="s">
        <v>254</v>
      </c>
      <c r="S277" s="5">
        <v>69</v>
      </c>
      <c r="T277" s="8">
        <v>551410</v>
      </c>
      <c r="U277" s="60" t="s">
        <v>255</v>
      </c>
    </row>
    <row r="278" spans="1:21" s="65" customFormat="1" x14ac:dyDescent="0.3">
      <c r="A278" s="61"/>
      <c r="B278" s="62"/>
      <c r="C278" s="63">
        <f>SUM(kulud!C271:C276)</f>
        <v>15200</v>
      </c>
      <c r="D278" s="64">
        <f>kulud!D271+kulud!D276+kulud!D273+kulud!D274+kulud!D275</f>
        <v>7406.68</v>
      </c>
      <c r="K278" s="66"/>
      <c r="L278" s="64">
        <f>kulud!L271+kulud!L273+kulud!L274+kulud!L275+kulud!L276+kulud!L277</f>
        <v>5371.08</v>
      </c>
      <c r="R278" s="66"/>
      <c r="S278" s="68">
        <f>kulud!S271+kulud!S272+kulud!S273+kulud!S275+kulud!S276+kulud!S277</f>
        <v>4348.49</v>
      </c>
    </row>
    <row r="279" spans="1:21" x14ac:dyDescent="0.3">
      <c r="A279" s="2" t="s">
        <v>256</v>
      </c>
      <c r="B279" s="51" t="s">
        <v>257</v>
      </c>
      <c r="C279" s="6">
        <f>(12*2*300)+2000</f>
        <v>9200</v>
      </c>
      <c r="D279" s="57">
        <v>1200</v>
      </c>
      <c r="E279" s="8">
        <v>551308</v>
      </c>
      <c r="L279" s="57">
        <v>0</v>
      </c>
      <c r="M279" s="8">
        <v>551308</v>
      </c>
      <c r="N279" s="60" t="s">
        <v>258</v>
      </c>
      <c r="S279" s="5">
        <v>1800</v>
      </c>
      <c r="T279" s="8">
        <v>551308</v>
      </c>
      <c r="U279" s="60" t="s">
        <v>258</v>
      </c>
    </row>
    <row r="280" spans="1:21" x14ac:dyDescent="0.3">
      <c r="A280" s="2"/>
      <c r="B280" s="51" t="s">
        <v>259</v>
      </c>
      <c r="C280" s="6">
        <v>500</v>
      </c>
      <c r="E280" s="8"/>
      <c r="L280" s="24">
        <v>0</v>
      </c>
      <c r="M280" s="8">
        <v>551307</v>
      </c>
      <c r="N280" s="60" t="s">
        <v>260</v>
      </c>
      <c r="S280" s="5">
        <v>1135.93</v>
      </c>
      <c r="T280" s="8">
        <v>551307</v>
      </c>
      <c r="U280" s="60" t="s">
        <v>260</v>
      </c>
    </row>
    <row r="281" spans="1:21" x14ac:dyDescent="0.3">
      <c r="A281" s="2"/>
      <c r="B281" s="51" t="s">
        <v>261</v>
      </c>
      <c r="C281" s="6">
        <v>3500</v>
      </c>
      <c r="D281" s="57">
        <v>1115.21</v>
      </c>
      <c r="E281" s="8">
        <v>551300</v>
      </c>
      <c r="L281" s="57">
        <v>1003.1</v>
      </c>
      <c r="M281" s="8">
        <v>551300</v>
      </c>
      <c r="N281" s="60" t="s">
        <v>262</v>
      </c>
      <c r="S281" s="5">
        <v>1156.54</v>
      </c>
      <c r="T281" s="8">
        <v>551300</v>
      </c>
      <c r="U281" s="60" t="s">
        <v>262</v>
      </c>
    </row>
    <row r="282" spans="1:21" x14ac:dyDescent="0.3">
      <c r="A282" s="2"/>
      <c r="B282" s="51" t="s">
        <v>263</v>
      </c>
      <c r="C282" s="6">
        <v>500</v>
      </c>
      <c r="D282" s="57">
        <v>10.83</v>
      </c>
      <c r="E282" s="8">
        <v>551306</v>
      </c>
      <c r="L282" s="57">
        <v>133.16999999999999</v>
      </c>
      <c r="M282" s="8">
        <v>551306</v>
      </c>
      <c r="N282" s="60" t="s">
        <v>264</v>
      </c>
    </row>
    <row r="283" spans="1:21" x14ac:dyDescent="0.3">
      <c r="A283" s="2"/>
      <c r="B283" s="51"/>
      <c r="C283" s="6"/>
      <c r="D283" s="57"/>
      <c r="E283" s="8"/>
      <c r="N283" s="60"/>
    </row>
    <row r="284" spans="1:21" x14ac:dyDescent="0.3">
      <c r="A284" s="2"/>
      <c r="B284" s="51" t="s">
        <v>265</v>
      </c>
      <c r="C284" s="6">
        <v>2500</v>
      </c>
      <c r="E284" s="21" t="s">
        <v>29</v>
      </c>
      <c r="F284" s="22" t="s">
        <v>30</v>
      </c>
      <c r="G284" s="23" t="s">
        <v>31</v>
      </c>
      <c r="M284" s="21" t="s">
        <v>29</v>
      </c>
      <c r="N284" s="22" t="s">
        <v>30</v>
      </c>
      <c r="O284" s="23" t="s">
        <v>31</v>
      </c>
      <c r="S284" s="5">
        <v>267.42</v>
      </c>
      <c r="T284" s="8">
        <v>554020</v>
      </c>
      <c r="U284" t="s">
        <v>266</v>
      </c>
    </row>
    <row r="285" spans="1:21" x14ac:dyDescent="0.3">
      <c r="A285" s="2"/>
      <c r="B285" s="51"/>
      <c r="D285" s="29">
        <v>554020</v>
      </c>
      <c r="E285" s="93">
        <v>1356.33</v>
      </c>
      <c r="F285" s="95">
        <v>265.8</v>
      </c>
      <c r="G285" s="23">
        <f>kulud!E285-kulud!F285</f>
        <v>1090.53</v>
      </c>
      <c r="L285" s="29">
        <v>554020</v>
      </c>
      <c r="M285">
        <v>718.12</v>
      </c>
      <c r="N285">
        <v>88.5</v>
      </c>
      <c r="O285" s="31">
        <f>kulud!M285-kulud!N285</f>
        <v>629.62</v>
      </c>
      <c r="P285" s="60" t="s">
        <v>267</v>
      </c>
    </row>
    <row r="286" spans="1:21" s="65" customFormat="1" x14ac:dyDescent="0.3">
      <c r="A286" s="61"/>
      <c r="B286" s="62"/>
      <c r="C286" s="63">
        <f>SUM(kulud!C279:C284)</f>
        <v>16200</v>
      </c>
      <c r="D286" s="64">
        <f>kulud!D279+kulud!D281+kulud!D282+kulud!G285</f>
        <v>3416.5699999999997</v>
      </c>
      <c r="K286" s="66"/>
      <c r="L286" s="64">
        <f>kulud!L279+kulud!L281+kulud!L282+kulud!O285</f>
        <v>1765.8899999999999</v>
      </c>
      <c r="R286" s="66"/>
      <c r="S286" s="68">
        <f>kulud!S279+kulud!S280+kulud!S281+kulud!S284</f>
        <v>4359.8900000000003</v>
      </c>
    </row>
    <row r="287" spans="1:21" x14ac:dyDescent="0.3">
      <c r="A287" s="2" t="s">
        <v>268</v>
      </c>
      <c r="B287" s="51" t="s">
        <v>269</v>
      </c>
      <c r="C287" s="6">
        <v>285000</v>
      </c>
      <c r="D287" s="57"/>
      <c r="E287" s="21" t="s">
        <v>29</v>
      </c>
      <c r="F287" s="22" t="s">
        <v>30</v>
      </c>
      <c r="G287" s="23" t="s">
        <v>31</v>
      </c>
      <c r="M287" s="21" t="s">
        <v>29</v>
      </c>
      <c r="N287" s="22" t="s">
        <v>30</v>
      </c>
      <c r="O287" s="23" t="s">
        <v>31</v>
      </c>
    </row>
    <row r="288" spans="1:21" x14ac:dyDescent="0.3">
      <c r="A288" s="2"/>
      <c r="B288" s="51"/>
      <c r="D288" s="99">
        <v>551500</v>
      </c>
      <c r="E288" s="101">
        <v>12806.06</v>
      </c>
      <c r="F288" s="95">
        <v>3946</v>
      </c>
      <c r="G288" s="23">
        <f>kulud!E288-kulud!F288</f>
        <v>8860.06</v>
      </c>
      <c r="L288" s="99">
        <v>551500</v>
      </c>
      <c r="M288">
        <v>7346.03</v>
      </c>
      <c r="N288">
        <v>0</v>
      </c>
      <c r="O288" s="31">
        <f>kulud!M288-kulud!N288</f>
        <v>7346.03</v>
      </c>
      <c r="P288" s="54"/>
      <c r="S288" s="5">
        <v>4122</v>
      </c>
      <c r="T288" s="8">
        <v>551500</v>
      </c>
      <c r="U288" t="s">
        <v>270</v>
      </c>
    </row>
    <row r="289" spans="1:21" x14ac:dyDescent="0.3">
      <c r="A289" s="2"/>
      <c r="B289" s="51"/>
      <c r="D289" s="57"/>
      <c r="E289" s="8"/>
    </row>
    <row r="290" spans="1:21" x14ac:dyDescent="0.3">
      <c r="A290" s="2"/>
      <c r="B290" s="51"/>
      <c r="D290" s="57"/>
      <c r="E290" s="8"/>
      <c r="L290" s="57">
        <v>959.01</v>
      </c>
      <c r="M290" s="8">
        <v>551103</v>
      </c>
      <c r="N290" s="60" t="s">
        <v>271</v>
      </c>
    </row>
    <row r="291" spans="1:21" x14ac:dyDescent="0.3">
      <c r="A291" s="2"/>
      <c r="B291" s="51"/>
      <c r="D291" s="57"/>
      <c r="E291" s="8"/>
      <c r="L291" s="57">
        <v>5370.11</v>
      </c>
      <c r="M291" s="8">
        <v>551106</v>
      </c>
      <c r="N291" s="60" t="s">
        <v>272</v>
      </c>
      <c r="S291" s="5">
        <v>7210.15</v>
      </c>
      <c r="T291" s="8">
        <v>551106</v>
      </c>
      <c r="U291" s="60" t="s">
        <v>272</v>
      </c>
    </row>
    <row r="292" spans="1:21" x14ac:dyDescent="0.3">
      <c r="A292" s="2"/>
      <c r="B292" s="51"/>
      <c r="D292" s="57"/>
      <c r="E292" s="8"/>
      <c r="L292" s="57">
        <v>5390.04</v>
      </c>
      <c r="M292" s="8">
        <v>551106</v>
      </c>
      <c r="N292" s="60" t="s">
        <v>273</v>
      </c>
      <c r="S292" s="5">
        <v>2880.78</v>
      </c>
      <c r="T292" s="8">
        <v>551106</v>
      </c>
      <c r="U292" s="60" t="s">
        <v>273</v>
      </c>
    </row>
    <row r="293" spans="1:21" x14ac:dyDescent="0.3">
      <c r="A293" s="2"/>
      <c r="B293" s="51"/>
      <c r="D293" s="57">
        <v>150</v>
      </c>
      <c r="E293" s="8">
        <v>551104</v>
      </c>
      <c r="M293" s="8"/>
      <c r="S293" s="5">
        <v>590</v>
      </c>
      <c r="T293" s="8">
        <v>551104</v>
      </c>
      <c r="U293" t="s">
        <v>274</v>
      </c>
    </row>
    <row r="294" spans="1:21" x14ac:dyDescent="0.3">
      <c r="A294" s="2"/>
      <c r="B294" s="51"/>
      <c r="D294" s="57">
        <v>190</v>
      </c>
      <c r="E294" s="8">
        <v>552530</v>
      </c>
      <c r="L294" s="57">
        <v>0</v>
      </c>
      <c r="M294" s="8">
        <v>552530</v>
      </c>
    </row>
    <row r="295" spans="1:21" x14ac:dyDescent="0.3">
      <c r="A295" s="2"/>
      <c r="B295" s="51"/>
      <c r="D295" s="57">
        <v>193.05</v>
      </c>
      <c r="E295" s="8">
        <v>552590</v>
      </c>
      <c r="L295" s="57">
        <v>0</v>
      </c>
      <c r="M295" s="8">
        <v>552590</v>
      </c>
      <c r="S295" s="5">
        <v>1071.8599999999999</v>
      </c>
      <c r="T295" s="8">
        <v>552530</v>
      </c>
      <c r="U295" t="s">
        <v>275</v>
      </c>
    </row>
    <row r="296" spans="1:21" x14ac:dyDescent="0.3">
      <c r="A296" s="2"/>
      <c r="B296" s="51"/>
      <c r="D296" s="57"/>
      <c r="E296" s="8"/>
      <c r="J296" s="8" t="s">
        <v>276</v>
      </c>
      <c r="L296" s="57">
        <v>636.08000000000004</v>
      </c>
      <c r="M296" s="8">
        <v>551400</v>
      </c>
      <c r="N296" s="54" t="s">
        <v>277</v>
      </c>
    </row>
    <row r="297" spans="1:21" x14ac:dyDescent="0.3">
      <c r="A297" s="2"/>
      <c r="B297" s="51"/>
      <c r="D297" s="57"/>
      <c r="E297" s="8"/>
      <c r="L297" s="57">
        <v>1522</v>
      </c>
      <c r="M297" s="8">
        <v>552530</v>
      </c>
      <c r="N297" s="60" t="s">
        <v>278</v>
      </c>
    </row>
    <row r="298" spans="1:21" x14ac:dyDescent="0.3">
      <c r="A298" s="2"/>
      <c r="B298" s="51" t="s">
        <v>279</v>
      </c>
      <c r="C298" s="6">
        <v>0</v>
      </c>
      <c r="N298" s="60"/>
    </row>
    <row r="299" spans="1:21" x14ac:dyDescent="0.3">
      <c r="A299" s="2"/>
      <c r="B299" s="51" t="s">
        <v>280</v>
      </c>
      <c r="C299" s="6">
        <v>22000</v>
      </c>
      <c r="D299" s="114">
        <v>19500</v>
      </c>
      <c r="E299" s="11">
        <v>551485</v>
      </c>
      <c r="F299" s="58" t="s">
        <v>281</v>
      </c>
      <c r="L299" s="114">
        <v>1500</v>
      </c>
      <c r="M299" s="11">
        <v>551485</v>
      </c>
      <c r="N299" s="58" t="s">
        <v>282</v>
      </c>
    </row>
    <row r="300" spans="1:21" s="65" customFormat="1" x14ac:dyDescent="0.3">
      <c r="A300" s="61"/>
      <c r="B300" s="62"/>
      <c r="C300" s="63">
        <f>SUM(kulud!C287:C299)</f>
        <v>307000</v>
      </c>
      <c r="D300" s="64">
        <f>kulud!G288+kulud!D293+kulud!D294+kulud!D295+kulud!D299</f>
        <v>28893.11</v>
      </c>
      <c r="K300" s="66"/>
      <c r="L300" s="64">
        <f>kulud!O288+kulud!L290+kulud!L291+kulud!L292+kulud!L296+kulud!L297+kulud!L299</f>
        <v>22723.27</v>
      </c>
      <c r="R300" s="66"/>
      <c r="S300" s="68">
        <f>kulud!S288+kulud!S291+kulud!S292+kulud!S293+kulud!S295</f>
        <v>15874.79</v>
      </c>
    </row>
    <row r="301" spans="1:21" x14ac:dyDescent="0.3">
      <c r="A301" s="2" t="s">
        <v>283</v>
      </c>
      <c r="B301" s="51" t="s">
        <v>284</v>
      </c>
      <c r="C301" s="6">
        <v>12000</v>
      </c>
      <c r="D301" s="57">
        <v>5081.83</v>
      </c>
      <c r="E301" s="8">
        <v>552530</v>
      </c>
      <c r="F301" s="8" t="s">
        <v>285</v>
      </c>
      <c r="I301" s="20" t="s">
        <v>286</v>
      </c>
      <c r="L301" s="57">
        <v>3524.94</v>
      </c>
      <c r="M301" s="8">
        <v>552530</v>
      </c>
      <c r="N301" s="60" t="s">
        <v>287</v>
      </c>
      <c r="S301" s="5">
        <v>4045.92</v>
      </c>
      <c r="T301" s="8">
        <v>552530</v>
      </c>
      <c r="U301" s="60" t="s">
        <v>287</v>
      </c>
    </row>
    <row r="302" spans="1:21" x14ac:dyDescent="0.3">
      <c r="A302" s="2"/>
      <c r="B302" s="51"/>
      <c r="C302" s="6"/>
      <c r="D302" s="57"/>
      <c r="E302" s="8"/>
      <c r="F302" s="8"/>
      <c r="I302" s="20"/>
      <c r="L302" s="57">
        <v>92.75</v>
      </c>
      <c r="M302" s="8">
        <v>552530</v>
      </c>
      <c r="N302" s="60" t="s">
        <v>285</v>
      </c>
      <c r="S302" s="5">
        <v>135.78</v>
      </c>
      <c r="T302" s="8">
        <v>552530</v>
      </c>
    </row>
    <row r="303" spans="1:21" x14ac:dyDescent="0.3">
      <c r="A303" s="2"/>
      <c r="B303" s="51"/>
      <c r="D303" s="57">
        <v>53</v>
      </c>
      <c r="E303" s="8">
        <v>552530</v>
      </c>
      <c r="F303" s="8" t="s">
        <v>288</v>
      </c>
      <c r="L303" s="57">
        <v>947.37</v>
      </c>
      <c r="M303" s="8">
        <v>552530</v>
      </c>
      <c r="N303" s="60" t="s">
        <v>288</v>
      </c>
    </row>
    <row r="304" spans="1:21" x14ac:dyDescent="0.3">
      <c r="A304" s="2"/>
      <c r="B304" s="51"/>
      <c r="D304" s="57"/>
      <c r="E304" s="8"/>
      <c r="F304" s="8"/>
    </row>
    <row r="305" spans="1:21" x14ac:dyDescent="0.3">
      <c r="A305" s="2"/>
      <c r="B305" s="51" t="s">
        <v>289</v>
      </c>
      <c r="C305" s="6">
        <v>3000</v>
      </c>
    </row>
    <row r="306" spans="1:21" x14ac:dyDescent="0.3">
      <c r="A306" s="2"/>
      <c r="B306" s="51" t="s">
        <v>290</v>
      </c>
      <c r="C306" s="6">
        <v>3000</v>
      </c>
    </row>
    <row r="307" spans="1:21" s="65" customFormat="1" x14ac:dyDescent="0.3">
      <c r="A307" s="61"/>
      <c r="B307" s="62"/>
      <c r="C307" s="63">
        <f>SUM(kulud!C301:C306)</f>
        <v>18000</v>
      </c>
      <c r="D307" s="64">
        <f>kulud!D301+kulud!D303</f>
        <v>5134.83</v>
      </c>
      <c r="K307" s="66"/>
      <c r="L307" s="64">
        <f>kulud!L301+kulud!L302+kulud!L303</f>
        <v>4565.0600000000004</v>
      </c>
      <c r="R307" s="66"/>
      <c r="S307" s="68">
        <f>kulud!S301+S302</f>
        <v>4181.7</v>
      </c>
    </row>
    <row r="308" spans="1:21" x14ac:dyDescent="0.3">
      <c r="A308" s="2" t="s">
        <v>291</v>
      </c>
      <c r="B308" s="51" t="s">
        <v>292</v>
      </c>
      <c r="C308" s="6">
        <v>1000</v>
      </c>
    </row>
    <row r="309" spans="1:21" x14ac:dyDescent="0.3">
      <c r="A309" s="2"/>
      <c r="B309" s="51" t="s">
        <v>293</v>
      </c>
      <c r="C309" s="6">
        <v>1000</v>
      </c>
      <c r="D309" s="115" t="s">
        <v>173</v>
      </c>
      <c r="E309" s="85" t="s">
        <v>29</v>
      </c>
      <c r="F309" s="86" t="s">
        <v>30</v>
      </c>
      <c r="G309" s="103" t="s">
        <v>294</v>
      </c>
      <c r="H309" s="87" t="s">
        <v>295</v>
      </c>
      <c r="I309" s="23" t="s">
        <v>31</v>
      </c>
      <c r="L309" s="115"/>
      <c r="M309" s="116"/>
      <c r="N309" s="116"/>
      <c r="O309" s="40"/>
      <c r="P309" s="116"/>
      <c r="Q309" s="23"/>
    </row>
    <row r="310" spans="1:21" x14ac:dyDescent="0.3">
      <c r="A310" s="2"/>
      <c r="B310" s="51" t="s">
        <v>296</v>
      </c>
      <c r="C310" s="6">
        <v>1000</v>
      </c>
      <c r="D310" s="29">
        <v>552580</v>
      </c>
      <c r="E310" s="93">
        <v>6062.17</v>
      </c>
      <c r="F310" s="94">
        <v>381.56</v>
      </c>
      <c r="G310" s="90">
        <v>235.36</v>
      </c>
      <c r="H310" s="117" t="s">
        <v>297</v>
      </c>
      <c r="I310" s="23">
        <f>kulud!E310-kulud!F310-kulud!G310-kulud!G311-kulud!G312-kulud!G313-kulud!G314-kulud!G315</f>
        <v>3666.63</v>
      </c>
      <c r="K310" s="118" t="s">
        <v>298</v>
      </c>
      <c r="L310" s="57">
        <v>610.01</v>
      </c>
      <c r="M310" s="40">
        <v>552580</v>
      </c>
      <c r="N310" s="2" t="s">
        <v>299</v>
      </c>
      <c r="O310" s="90"/>
      <c r="P310" s="2"/>
      <c r="Q310" s="2"/>
      <c r="S310" s="5">
        <v>161.88</v>
      </c>
      <c r="T310" s="40">
        <v>552580</v>
      </c>
      <c r="U310" s="2" t="s">
        <v>299</v>
      </c>
    </row>
    <row r="311" spans="1:21" x14ac:dyDescent="0.3">
      <c r="A311" s="2"/>
      <c r="B311" s="51" t="s">
        <v>300</v>
      </c>
      <c r="C311" s="6">
        <v>1000</v>
      </c>
      <c r="G311" s="24">
        <v>178</v>
      </c>
      <c r="H311" s="117" t="s">
        <v>301</v>
      </c>
      <c r="L311" s="57">
        <v>329.4</v>
      </c>
      <c r="M311" s="40">
        <v>552580</v>
      </c>
      <c r="N311" s="60" t="s">
        <v>302</v>
      </c>
      <c r="O311" s="1"/>
      <c r="P311" s="2"/>
      <c r="Q311" s="2"/>
      <c r="S311" s="5">
        <v>226.8</v>
      </c>
      <c r="T311" s="40">
        <v>552580</v>
      </c>
      <c r="U311" s="60" t="s">
        <v>302</v>
      </c>
    </row>
    <row r="312" spans="1:21" x14ac:dyDescent="0.3">
      <c r="A312" s="2"/>
      <c r="B312" s="51" t="s">
        <v>303</v>
      </c>
      <c r="C312" s="6">
        <v>2000</v>
      </c>
      <c r="G312" s="24">
        <v>168</v>
      </c>
      <c r="H312" s="117" t="s">
        <v>304</v>
      </c>
      <c r="L312" s="57">
        <v>3053.72</v>
      </c>
      <c r="M312" s="40">
        <v>552580</v>
      </c>
      <c r="N312" s="60" t="s">
        <v>305</v>
      </c>
      <c r="O312" s="2"/>
      <c r="P312" s="2"/>
      <c r="Q312" s="2"/>
      <c r="S312" s="5">
        <v>1437.25</v>
      </c>
      <c r="T312" s="40">
        <v>552580</v>
      </c>
      <c r="U312" s="60" t="s">
        <v>306</v>
      </c>
    </row>
    <row r="313" spans="1:21" x14ac:dyDescent="0.3">
      <c r="A313" s="2"/>
      <c r="B313" s="51" t="s">
        <v>307</v>
      </c>
      <c r="C313" s="6">
        <v>1000</v>
      </c>
      <c r="G313" s="24">
        <v>1146.3599999999999</v>
      </c>
      <c r="H313" s="117" t="s">
        <v>308</v>
      </c>
      <c r="L313" s="57">
        <v>358.7</v>
      </c>
      <c r="M313" s="8">
        <v>552580</v>
      </c>
      <c r="N313" s="60" t="s">
        <v>292</v>
      </c>
      <c r="O313" s="2"/>
      <c r="P313" s="2"/>
      <c r="Q313" s="2"/>
      <c r="S313" s="5">
        <v>352.95</v>
      </c>
      <c r="T313" s="8">
        <v>552580</v>
      </c>
      <c r="U313" s="60" t="s">
        <v>292</v>
      </c>
    </row>
    <row r="314" spans="1:21" x14ac:dyDescent="0.3">
      <c r="A314" s="2"/>
      <c r="B314" s="51" t="s">
        <v>309</v>
      </c>
      <c r="C314" s="6">
        <v>10000</v>
      </c>
      <c r="D314" s="57">
        <v>1346.15</v>
      </c>
      <c r="E314" s="8">
        <v>550302</v>
      </c>
      <c r="F314" s="8" t="s">
        <v>310</v>
      </c>
      <c r="G314" s="24">
        <v>267.89999999999998</v>
      </c>
      <c r="H314" s="117" t="s">
        <v>311</v>
      </c>
      <c r="L314" s="57">
        <v>151.63999999999999</v>
      </c>
      <c r="M314" s="8">
        <v>552580</v>
      </c>
      <c r="N314" s="60" t="s">
        <v>291</v>
      </c>
      <c r="O314" s="2"/>
      <c r="P314" s="2"/>
      <c r="Q314" s="2"/>
      <c r="T314" s="8"/>
      <c r="U314" s="60"/>
    </row>
    <row r="315" spans="1:21" x14ac:dyDescent="0.3">
      <c r="A315" s="2"/>
      <c r="B315" s="51"/>
      <c r="D315" s="57">
        <v>130</v>
      </c>
      <c r="E315" s="8">
        <v>550304</v>
      </c>
      <c r="F315" s="8" t="s">
        <v>310</v>
      </c>
      <c r="G315" s="93">
        <v>18.36</v>
      </c>
      <c r="H315" s="95" t="s">
        <v>312</v>
      </c>
      <c r="L315" s="57">
        <v>202.5</v>
      </c>
      <c r="M315" s="8">
        <v>552580</v>
      </c>
      <c r="N315" s="60" t="s">
        <v>313</v>
      </c>
      <c r="O315" s="2"/>
      <c r="P315" s="1"/>
      <c r="Q315" s="1"/>
    </row>
    <row r="316" spans="1:21" x14ac:dyDescent="0.3">
      <c r="A316" s="2"/>
      <c r="B316" s="51"/>
      <c r="D316" s="57"/>
      <c r="E316" s="8"/>
      <c r="F316" s="8"/>
      <c r="G316" s="93"/>
      <c r="H316" s="95"/>
      <c r="L316" s="57">
        <v>15</v>
      </c>
      <c r="M316" s="8">
        <v>552580</v>
      </c>
      <c r="N316" s="60" t="s">
        <v>314</v>
      </c>
      <c r="O316" s="2"/>
      <c r="P316" s="1"/>
      <c r="Q316" s="1"/>
      <c r="S316" s="5">
        <v>15</v>
      </c>
      <c r="T316" s="8">
        <v>552580</v>
      </c>
      <c r="U316" s="60" t="s">
        <v>314</v>
      </c>
    </row>
    <row r="317" spans="1:21" x14ac:dyDescent="0.3">
      <c r="A317" s="2"/>
      <c r="B317" s="51"/>
      <c r="D317" s="57"/>
      <c r="E317" s="8"/>
      <c r="F317" s="8"/>
      <c r="G317" s="1"/>
      <c r="H317" s="1"/>
      <c r="L317" s="57">
        <v>100</v>
      </c>
      <c r="M317" s="8">
        <v>550304</v>
      </c>
      <c r="N317" s="60" t="s">
        <v>310</v>
      </c>
      <c r="O317" s="2" t="s">
        <v>315</v>
      </c>
      <c r="P317" s="1"/>
      <c r="Q317" s="1"/>
    </row>
    <row r="318" spans="1:21" x14ac:dyDescent="0.3">
      <c r="A318" s="2"/>
      <c r="B318" s="51"/>
      <c r="D318" s="57"/>
      <c r="E318" s="8"/>
      <c r="F318" s="8"/>
      <c r="G318" s="1"/>
      <c r="H318" s="1"/>
      <c r="L318" s="57">
        <v>90</v>
      </c>
      <c r="M318" s="8">
        <v>550304</v>
      </c>
      <c r="N318" s="60" t="s">
        <v>310</v>
      </c>
      <c r="O318" s="2" t="s">
        <v>316</v>
      </c>
      <c r="P318" s="1"/>
      <c r="Q318" s="1"/>
    </row>
    <row r="319" spans="1:21" x14ac:dyDescent="0.3">
      <c r="A319" s="2"/>
      <c r="B319" s="51"/>
      <c r="D319" s="57"/>
      <c r="E319" s="8"/>
      <c r="F319" s="8"/>
      <c r="G319" s="1"/>
      <c r="H319" s="1"/>
      <c r="L319" s="57">
        <v>200</v>
      </c>
      <c r="M319" s="8">
        <v>550304</v>
      </c>
      <c r="N319" s="60" t="s">
        <v>310</v>
      </c>
      <c r="O319" s="2" t="s">
        <v>317</v>
      </c>
      <c r="P319" s="1"/>
      <c r="Q319" s="1"/>
    </row>
    <row r="320" spans="1:21" x14ac:dyDescent="0.3">
      <c r="A320" s="2"/>
      <c r="B320" s="51"/>
      <c r="D320" s="57"/>
      <c r="E320" s="8"/>
      <c r="F320" s="8"/>
      <c r="G320" s="1"/>
      <c r="H320" s="1"/>
      <c r="L320" s="57">
        <v>384</v>
      </c>
      <c r="M320" s="8">
        <v>550304</v>
      </c>
      <c r="N320" s="60" t="s">
        <v>310</v>
      </c>
      <c r="O320" s="2" t="s">
        <v>318</v>
      </c>
      <c r="P320" s="1"/>
      <c r="Q320" s="1"/>
    </row>
    <row r="321" spans="1:22" x14ac:dyDescent="0.3">
      <c r="A321" s="2"/>
      <c r="B321" s="56" t="s">
        <v>162</v>
      </c>
      <c r="D321" s="57"/>
      <c r="E321" s="8"/>
      <c r="F321" s="8"/>
      <c r="G321" s="1"/>
      <c r="H321" s="1"/>
      <c r="L321" s="57">
        <v>67.89</v>
      </c>
      <c r="M321" s="8">
        <v>550301</v>
      </c>
      <c r="N321" s="60" t="s">
        <v>310</v>
      </c>
      <c r="O321" s="2" t="s">
        <v>319</v>
      </c>
      <c r="P321" s="1"/>
      <c r="Q321" s="1"/>
      <c r="S321" s="5">
        <v>72.260000000000005</v>
      </c>
      <c r="T321" s="8">
        <v>550301</v>
      </c>
      <c r="U321" s="60" t="s">
        <v>320</v>
      </c>
    </row>
    <row r="322" spans="1:22" x14ac:dyDescent="0.3">
      <c r="A322" s="2"/>
      <c r="B322" s="51"/>
      <c r="D322" s="57"/>
      <c r="E322" s="8"/>
      <c r="F322" s="8"/>
      <c r="G322" s="1"/>
      <c r="H322" s="1"/>
      <c r="L322" s="57">
        <v>381</v>
      </c>
      <c r="M322" s="8">
        <v>550302</v>
      </c>
      <c r="N322" s="60" t="s">
        <v>321</v>
      </c>
      <c r="O322" s="60" t="s">
        <v>322</v>
      </c>
      <c r="S322" s="5">
        <v>22</v>
      </c>
      <c r="T322" s="8">
        <v>550302</v>
      </c>
      <c r="U322" s="60" t="s">
        <v>323</v>
      </c>
    </row>
    <row r="323" spans="1:22" x14ac:dyDescent="0.3">
      <c r="A323" s="2"/>
      <c r="B323" s="51"/>
      <c r="D323" s="57"/>
      <c r="E323" s="8"/>
      <c r="F323" s="8"/>
      <c r="G323" s="1"/>
      <c r="H323" s="1"/>
      <c r="L323" s="57">
        <v>245.47</v>
      </c>
      <c r="M323" s="8">
        <v>550302</v>
      </c>
      <c r="N323" s="60" t="s">
        <v>310</v>
      </c>
      <c r="O323" s="60" t="s">
        <v>324</v>
      </c>
      <c r="S323" s="5">
        <v>60</v>
      </c>
      <c r="T323" s="8">
        <v>550304</v>
      </c>
      <c r="U323" s="60" t="s">
        <v>325</v>
      </c>
    </row>
    <row r="324" spans="1:22" x14ac:dyDescent="0.3">
      <c r="A324" s="2"/>
      <c r="B324" s="51"/>
      <c r="D324" s="57"/>
      <c r="E324" s="8"/>
      <c r="F324" s="8"/>
      <c r="G324" s="1"/>
      <c r="H324" s="1"/>
      <c r="L324" s="57">
        <v>590.13</v>
      </c>
      <c r="M324" s="8">
        <v>550302</v>
      </c>
      <c r="N324" s="60" t="s">
        <v>310</v>
      </c>
      <c r="O324" s="60" t="s">
        <v>326</v>
      </c>
    </row>
    <row r="325" spans="1:22" x14ac:dyDescent="0.3">
      <c r="A325" s="2"/>
      <c r="B325" s="51"/>
      <c r="D325" s="57"/>
      <c r="E325" s="8"/>
      <c r="F325" s="8"/>
      <c r="G325" s="1"/>
      <c r="H325" s="1"/>
      <c r="L325" s="57">
        <v>270.5</v>
      </c>
      <c r="M325" s="8">
        <v>550302</v>
      </c>
      <c r="N325" s="60" t="s">
        <v>310</v>
      </c>
      <c r="O325" s="60" t="s">
        <v>327</v>
      </c>
    </row>
    <row r="326" spans="1:22" x14ac:dyDescent="0.3">
      <c r="A326" s="2"/>
      <c r="B326" s="51"/>
      <c r="D326" s="57"/>
      <c r="E326" s="8"/>
      <c r="F326" s="8"/>
      <c r="G326" s="1"/>
      <c r="H326" s="1"/>
      <c r="L326" s="57">
        <v>12.75</v>
      </c>
      <c r="M326" s="8">
        <v>550309</v>
      </c>
      <c r="N326" s="60" t="s">
        <v>310</v>
      </c>
      <c r="O326" s="60" t="s">
        <v>328</v>
      </c>
    </row>
    <row r="327" spans="1:22" x14ac:dyDescent="0.3">
      <c r="A327" s="2"/>
      <c r="B327" s="51"/>
      <c r="D327" s="57"/>
      <c r="E327" s="8"/>
      <c r="F327" s="8"/>
      <c r="G327" s="1"/>
      <c r="H327" s="1"/>
      <c r="L327" s="57">
        <v>600</v>
      </c>
      <c r="M327" s="8">
        <v>552510</v>
      </c>
      <c r="N327" s="60" t="s">
        <v>329</v>
      </c>
    </row>
    <row r="328" spans="1:22" x14ac:dyDescent="0.3">
      <c r="A328" s="2"/>
      <c r="B328" s="56" t="s">
        <v>330</v>
      </c>
      <c r="D328" s="57">
        <v>2251.1799999999998</v>
      </c>
      <c r="E328" s="8">
        <v>552590</v>
      </c>
      <c r="F328" s="8"/>
      <c r="G328" s="1"/>
      <c r="H328" s="1"/>
      <c r="L328" s="57">
        <v>1158.1400000000001</v>
      </c>
      <c r="M328" s="8">
        <v>552590</v>
      </c>
      <c r="N328" s="60" t="s">
        <v>330</v>
      </c>
      <c r="S328" s="5">
        <v>525.55999999999995</v>
      </c>
      <c r="T328" s="8">
        <v>552590</v>
      </c>
      <c r="U328" s="60" t="s">
        <v>331</v>
      </c>
    </row>
    <row r="329" spans="1:22" x14ac:dyDescent="0.3">
      <c r="A329" s="2"/>
      <c r="B329" s="51"/>
      <c r="D329" s="57"/>
      <c r="E329" s="8"/>
      <c r="F329" s="8"/>
      <c r="G329" s="1"/>
      <c r="H329" s="1"/>
      <c r="S329" s="5">
        <v>15</v>
      </c>
      <c r="T329" s="8">
        <v>554020</v>
      </c>
      <c r="U329" t="s">
        <v>332</v>
      </c>
    </row>
    <row r="330" spans="1:22" s="65" customFormat="1" x14ac:dyDescent="0.3">
      <c r="A330" s="61"/>
      <c r="B330" s="62"/>
      <c r="C330" s="63">
        <f>SUM(kulud!C308:C314)</f>
        <v>17000</v>
      </c>
      <c r="D330" s="64">
        <f>kulud!I310+kulud!D314+kulud!D315+kulud!D328</f>
        <v>7393.9600000000009</v>
      </c>
      <c r="K330" s="66"/>
      <c r="L330" s="64">
        <f>SUM(kulud!L310:L328)</f>
        <v>8820.85</v>
      </c>
      <c r="R330" s="66"/>
      <c r="S330" s="68">
        <f>kulud!S310+kulud!S311+kulud!S312+kulud!S313+kulud!S316+kulud!S321+kulud!S322+kulud!S323+kulud!S328+kulud!S329</f>
        <v>2888.7000000000003</v>
      </c>
    </row>
    <row r="331" spans="1:22" x14ac:dyDescent="0.3">
      <c r="A331" s="2" t="s">
        <v>333</v>
      </c>
      <c r="B331" s="51" t="s">
        <v>334</v>
      </c>
      <c r="C331" s="6">
        <v>5500</v>
      </c>
      <c r="D331" s="57">
        <v>1141.3399999999999</v>
      </c>
      <c r="E331" s="8">
        <v>552520</v>
      </c>
      <c r="L331" s="57">
        <v>200</v>
      </c>
      <c r="M331" s="8">
        <v>552520</v>
      </c>
      <c r="N331" t="s">
        <v>335</v>
      </c>
      <c r="T331" s="8"/>
    </row>
    <row r="332" spans="1:22" x14ac:dyDescent="0.3">
      <c r="A332" s="2"/>
      <c r="B332" s="56" t="s">
        <v>89</v>
      </c>
      <c r="D332" s="57">
        <v>2339</v>
      </c>
      <c r="E332" s="8">
        <v>500500</v>
      </c>
      <c r="L332" s="24">
        <v>0</v>
      </c>
      <c r="M332" s="9">
        <v>500500</v>
      </c>
      <c r="S332" s="119">
        <v>850.2</v>
      </c>
      <c r="T332" s="9">
        <v>500500</v>
      </c>
      <c r="U332" t="s">
        <v>336</v>
      </c>
    </row>
    <row r="333" spans="1:22" ht="21" x14ac:dyDescent="0.4">
      <c r="A333" s="2"/>
      <c r="B333" s="106" t="s">
        <v>90</v>
      </c>
      <c r="D333" s="108">
        <v>771.88</v>
      </c>
      <c r="E333" s="110">
        <v>506000</v>
      </c>
      <c r="L333" s="24">
        <v>0</v>
      </c>
      <c r="M333" s="9">
        <v>506000</v>
      </c>
      <c r="S333" s="119">
        <v>280.56</v>
      </c>
      <c r="T333" s="9">
        <v>506000</v>
      </c>
      <c r="U333" t="s">
        <v>336</v>
      </c>
      <c r="V333" s="120"/>
    </row>
    <row r="334" spans="1:22" x14ac:dyDescent="0.3">
      <c r="A334" s="2"/>
      <c r="B334" s="106" t="s">
        <v>91</v>
      </c>
      <c r="D334" s="108">
        <v>18.72</v>
      </c>
      <c r="E334" s="110">
        <v>506040</v>
      </c>
      <c r="L334" s="24">
        <v>0</v>
      </c>
      <c r="M334" s="9">
        <v>506040</v>
      </c>
      <c r="S334" s="5">
        <v>6.81</v>
      </c>
      <c r="T334" s="9">
        <v>506040</v>
      </c>
      <c r="U334" t="s">
        <v>336</v>
      </c>
    </row>
    <row r="335" spans="1:22" x14ac:dyDescent="0.3">
      <c r="A335" s="2"/>
      <c r="B335" s="51"/>
      <c r="D335" s="57"/>
      <c r="E335" s="8"/>
      <c r="M335" s="9"/>
      <c r="S335" s="5">
        <v>104.83</v>
      </c>
      <c r="T335" s="8">
        <v>550040</v>
      </c>
      <c r="U335" t="s">
        <v>337</v>
      </c>
    </row>
    <row r="336" spans="1:22" x14ac:dyDescent="0.3">
      <c r="A336" s="2"/>
      <c r="B336" s="51"/>
      <c r="D336" s="57"/>
      <c r="E336" s="8"/>
      <c r="M336" s="9"/>
      <c r="S336" s="19">
        <f>SUM(S332:S335)</f>
        <v>1242.3999999999999</v>
      </c>
      <c r="T336" s="8" t="s">
        <v>338</v>
      </c>
    </row>
    <row r="337" spans="1:21" x14ac:dyDescent="0.3">
      <c r="A337" s="2"/>
      <c r="B337" s="51" t="s">
        <v>339</v>
      </c>
      <c r="C337" s="6">
        <v>1500</v>
      </c>
    </row>
    <row r="338" spans="1:21" x14ac:dyDescent="0.3">
      <c r="A338" s="2"/>
      <c r="B338" s="51"/>
    </row>
    <row r="339" spans="1:21" x14ac:dyDescent="0.3">
      <c r="A339" s="2"/>
      <c r="B339" s="47" t="s">
        <v>340</v>
      </c>
      <c r="C339" s="6">
        <v>4000</v>
      </c>
      <c r="D339" s="57">
        <v>2942.66</v>
      </c>
      <c r="E339" s="8">
        <v>552520</v>
      </c>
      <c r="K339" s="121" t="s">
        <v>341</v>
      </c>
      <c r="L339" s="57">
        <v>1400</v>
      </c>
      <c r="M339" s="8">
        <v>552520</v>
      </c>
      <c r="N339" s="60" t="s">
        <v>137</v>
      </c>
      <c r="S339" s="5">
        <v>55.05</v>
      </c>
      <c r="T339" s="8">
        <v>552530</v>
      </c>
      <c r="U339" t="s">
        <v>342</v>
      </c>
    </row>
    <row r="340" spans="1:21" x14ac:dyDescent="0.3">
      <c r="A340" s="2"/>
      <c r="B340" s="51"/>
      <c r="C340" s="6"/>
      <c r="D340" s="57"/>
      <c r="E340" s="8"/>
      <c r="K340" s="121"/>
      <c r="L340" s="57"/>
      <c r="M340" s="8"/>
      <c r="N340" s="60"/>
      <c r="S340" s="5">
        <v>100</v>
      </c>
      <c r="T340" s="8">
        <v>550040</v>
      </c>
      <c r="U340" t="s">
        <v>343</v>
      </c>
    </row>
    <row r="341" spans="1:21" x14ac:dyDescent="0.3">
      <c r="A341" s="2"/>
      <c r="B341" s="56" t="s">
        <v>344</v>
      </c>
      <c r="D341" s="57">
        <v>125</v>
      </c>
      <c r="E341" s="8">
        <v>552510</v>
      </c>
      <c r="L341" s="57">
        <v>103.72</v>
      </c>
      <c r="M341" s="8">
        <v>552510</v>
      </c>
      <c r="N341" s="60" t="s">
        <v>345</v>
      </c>
      <c r="O341" s="60" t="s">
        <v>96</v>
      </c>
    </row>
    <row r="342" spans="1:21" x14ac:dyDescent="0.3">
      <c r="A342" s="2"/>
      <c r="B342" s="56"/>
      <c r="D342" s="57"/>
      <c r="E342" s="8"/>
      <c r="L342" s="57"/>
      <c r="M342" s="8"/>
      <c r="N342" s="60" t="s">
        <v>346</v>
      </c>
      <c r="O342" s="8"/>
    </row>
    <row r="343" spans="1:21" x14ac:dyDescent="0.3">
      <c r="A343" s="2"/>
      <c r="B343" s="51"/>
      <c r="D343" s="57">
        <v>455</v>
      </c>
      <c r="E343" s="8">
        <v>500500</v>
      </c>
      <c r="L343" s="57">
        <v>0</v>
      </c>
      <c r="M343" s="9">
        <v>500500</v>
      </c>
    </row>
    <row r="344" spans="1:21" x14ac:dyDescent="0.3">
      <c r="A344" s="2"/>
      <c r="B344" s="106" t="s">
        <v>90</v>
      </c>
      <c r="D344" s="108">
        <v>150.15</v>
      </c>
      <c r="E344" s="110">
        <v>506000</v>
      </c>
      <c r="L344" s="57">
        <v>0</v>
      </c>
      <c r="M344" s="9">
        <v>506000</v>
      </c>
    </row>
    <row r="345" spans="1:21" x14ac:dyDescent="0.3">
      <c r="A345" s="2"/>
      <c r="B345" s="106" t="s">
        <v>91</v>
      </c>
      <c r="D345" s="108">
        <v>3.64</v>
      </c>
      <c r="E345" s="110">
        <v>506040</v>
      </c>
      <c r="L345" s="57">
        <v>0</v>
      </c>
      <c r="M345" s="9">
        <v>506040</v>
      </c>
    </row>
    <row r="346" spans="1:21" x14ac:dyDescent="0.3">
      <c r="A346" s="2"/>
      <c r="B346" s="51"/>
      <c r="D346" s="57"/>
      <c r="E346" s="8"/>
      <c r="M346" s="8"/>
    </row>
    <row r="347" spans="1:21" x14ac:dyDescent="0.3">
      <c r="A347" s="2"/>
      <c r="B347" s="51" t="s">
        <v>347</v>
      </c>
      <c r="C347" s="6">
        <v>0</v>
      </c>
    </row>
    <row r="348" spans="1:21" x14ac:dyDescent="0.3">
      <c r="A348" s="2"/>
      <c r="B348" s="51" t="s">
        <v>348</v>
      </c>
      <c r="D348" s="57">
        <v>130</v>
      </c>
      <c r="E348" s="8">
        <v>552520</v>
      </c>
      <c r="J348" s="122" t="s">
        <v>137</v>
      </c>
      <c r="K348" s="123"/>
      <c r="L348" s="57">
        <v>1370</v>
      </c>
      <c r="M348" s="8">
        <v>552520</v>
      </c>
      <c r="N348" t="s">
        <v>349</v>
      </c>
    </row>
    <row r="349" spans="1:21" x14ac:dyDescent="0.3">
      <c r="A349" s="2"/>
      <c r="B349" s="51"/>
      <c r="D349" s="57"/>
      <c r="E349" s="8"/>
      <c r="J349" s="20"/>
      <c r="K349" s="123"/>
      <c r="L349" s="57">
        <v>80</v>
      </c>
      <c r="M349" s="8">
        <v>552580</v>
      </c>
      <c r="N349" t="s">
        <v>350</v>
      </c>
    </row>
    <row r="350" spans="1:21" x14ac:dyDescent="0.3">
      <c r="A350" s="2"/>
      <c r="B350" s="56" t="s">
        <v>351</v>
      </c>
      <c r="D350" s="57">
        <v>240</v>
      </c>
      <c r="E350" s="8">
        <v>552510</v>
      </c>
      <c r="L350" s="57">
        <v>1400</v>
      </c>
      <c r="M350" s="8">
        <v>552520</v>
      </c>
      <c r="N350" t="s">
        <v>352</v>
      </c>
    </row>
    <row r="351" spans="1:21" x14ac:dyDescent="0.3">
      <c r="A351" s="2"/>
      <c r="B351" s="51" t="s">
        <v>353</v>
      </c>
      <c r="C351" s="6">
        <v>0</v>
      </c>
      <c r="D351" s="57">
        <v>1575.75</v>
      </c>
      <c r="E351" s="8">
        <v>552520</v>
      </c>
      <c r="L351" s="57">
        <v>251</v>
      </c>
      <c r="M351" s="8">
        <v>552520</v>
      </c>
      <c r="N351" t="s">
        <v>354</v>
      </c>
    </row>
    <row r="352" spans="1:21" x14ac:dyDescent="0.3">
      <c r="A352" s="2"/>
      <c r="D352" s="57">
        <v>22</v>
      </c>
      <c r="E352" s="8">
        <v>552520</v>
      </c>
      <c r="L352" s="57">
        <v>322</v>
      </c>
      <c r="M352" s="8">
        <v>552520</v>
      </c>
      <c r="N352" t="s">
        <v>355</v>
      </c>
      <c r="S352" s="5">
        <v>161</v>
      </c>
      <c r="T352" s="8">
        <v>552520</v>
      </c>
      <c r="U352" t="s">
        <v>356</v>
      </c>
    </row>
    <row r="353" spans="1:25" x14ac:dyDescent="0.3">
      <c r="A353" s="2"/>
      <c r="D353" s="57"/>
      <c r="E353" s="8"/>
      <c r="L353" s="57"/>
      <c r="M353" s="8"/>
      <c r="S353" s="5">
        <v>220.92</v>
      </c>
      <c r="T353" s="8">
        <v>552520</v>
      </c>
      <c r="U353" s="60" t="s">
        <v>357</v>
      </c>
    </row>
    <row r="354" spans="1:25" x14ac:dyDescent="0.3">
      <c r="A354" s="2"/>
      <c r="B354" s="51" t="s">
        <v>358</v>
      </c>
      <c r="D354" s="57"/>
      <c r="E354" s="8"/>
    </row>
    <row r="355" spans="1:25" x14ac:dyDescent="0.3">
      <c r="A355" s="2"/>
      <c r="B355" s="51" t="s">
        <v>359</v>
      </c>
      <c r="D355" s="57">
        <v>65</v>
      </c>
      <c r="E355" s="8">
        <v>552520</v>
      </c>
      <c r="L355" s="57">
        <v>11</v>
      </c>
      <c r="M355" s="8">
        <v>552580</v>
      </c>
      <c r="N355" s="60" t="s">
        <v>360</v>
      </c>
    </row>
    <row r="356" spans="1:25" x14ac:dyDescent="0.3">
      <c r="A356" s="2"/>
      <c r="B356" s="51" t="s">
        <v>361</v>
      </c>
      <c r="D356" s="57">
        <v>100</v>
      </c>
      <c r="E356" s="8">
        <v>552520</v>
      </c>
      <c r="L356" s="57">
        <v>0</v>
      </c>
      <c r="M356" s="8">
        <v>552520</v>
      </c>
    </row>
    <row r="357" spans="1:25" x14ac:dyDescent="0.3">
      <c r="A357" s="2"/>
      <c r="B357" s="51"/>
      <c r="C357" s="124"/>
      <c r="D357" s="125">
        <v>487.74</v>
      </c>
      <c r="E357" s="103" t="s">
        <v>362</v>
      </c>
      <c r="F357" s="126"/>
      <c r="L357" s="57">
        <v>76.98</v>
      </c>
      <c r="M357" s="40">
        <v>552510</v>
      </c>
      <c r="N357" s="1"/>
    </row>
    <row r="358" spans="1:25" x14ac:dyDescent="0.3">
      <c r="A358" s="2"/>
      <c r="B358" s="51"/>
      <c r="C358" s="127"/>
      <c r="D358" s="128">
        <v>97.37</v>
      </c>
      <c r="E358" s="129" t="s">
        <v>363</v>
      </c>
      <c r="F358" s="95"/>
      <c r="M358" s="40"/>
      <c r="N358" s="1"/>
    </row>
    <row r="359" spans="1:25" s="65" customFormat="1" x14ac:dyDescent="0.3">
      <c r="A359" s="61"/>
      <c r="B359" s="62"/>
      <c r="C359" s="63">
        <f>SUM(kulud!C331:C351)</f>
        <v>11000</v>
      </c>
      <c r="D359" s="64">
        <f>kulud!D331+kulud!D332+kulud!D339+kulud!D341+kulud!D343+kulud!D348+kulud!D350+kulud!D351+kulud!D352+kulud!D355+kulud!D356-kulud!D357-kulud!D358+kulud!D333+kulud!D334+kulud!D344+kulud!D345</f>
        <v>9495.029999999997</v>
      </c>
      <c r="K359" s="66"/>
      <c r="L359" s="64">
        <f>kulud!L331+kulud!L339+kulud!L341+kulud!L348+kulud!L349+kulud!L350+kulud!L351+kulud!L352+kulud!L355+kulud!L356+kulud!L357</f>
        <v>5214.7</v>
      </c>
      <c r="R359" s="66"/>
      <c r="S359" s="68">
        <f>S336+S339+S340+S352+S353</f>
        <v>1779.37</v>
      </c>
    </row>
    <row r="360" spans="1:25" x14ac:dyDescent="0.3">
      <c r="A360" s="2" t="s">
        <v>364</v>
      </c>
      <c r="B360" s="51" t="s">
        <v>365</v>
      </c>
      <c r="C360" s="6">
        <v>500</v>
      </c>
    </row>
    <row r="361" spans="1:25" x14ac:dyDescent="0.3">
      <c r="A361" s="2"/>
      <c r="B361" s="51" t="s">
        <v>366</v>
      </c>
      <c r="C361" s="6">
        <v>500</v>
      </c>
    </row>
    <row r="362" spans="1:25" x14ac:dyDescent="0.3">
      <c r="A362" s="2"/>
      <c r="B362" s="56" t="s">
        <v>367</v>
      </c>
      <c r="C362" s="6"/>
      <c r="D362" s="57">
        <v>23</v>
      </c>
      <c r="E362" s="8">
        <v>601090</v>
      </c>
      <c r="L362" s="57">
        <v>160</v>
      </c>
      <c r="M362" s="8">
        <v>601070</v>
      </c>
      <c r="N362" s="60" t="s">
        <v>368</v>
      </c>
      <c r="S362" s="5">
        <v>4.45</v>
      </c>
      <c r="T362" s="8">
        <v>608010</v>
      </c>
      <c r="U362" t="s">
        <v>369</v>
      </c>
    </row>
    <row r="363" spans="1:25" x14ac:dyDescent="0.3">
      <c r="A363" s="2"/>
      <c r="B363" s="51" t="s">
        <v>370</v>
      </c>
      <c r="C363" s="6">
        <v>1000</v>
      </c>
    </row>
    <row r="364" spans="1:25" x14ac:dyDescent="0.3">
      <c r="A364" s="2"/>
      <c r="B364" s="51" t="s">
        <v>364</v>
      </c>
      <c r="C364" s="6">
        <v>2000</v>
      </c>
      <c r="F364" s="21" t="s">
        <v>29</v>
      </c>
      <c r="G364" s="103" t="s">
        <v>30</v>
      </c>
      <c r="H364" s="103" t="s">
        <v>371</v>
      </c>
      <c r="I364" s="22" t="s">
        <v>372</v>
      </c>
      <c r="J364" s="130" t="s">
        <v>373</v>
      </c>
      <c r="K364" s="131" t="s">
        <v>31</v>
      </c>
      <c r="N364" s="21" t="s">
        <v>29</v>
      </c>
      <c r="O364" s="103" t="s">
        <v>30</v>
      </c>
      <c r="P364" s="103" t="s">
        <v>371</v>
      </c>
      <c r="Q364" s="22" t="s">
        <v>372</v>
      </c>
      <c r="R364" s="130" t="s">
        <v>373</v>
      </c>
      <c r="S364" s="132" t="s">
        <v>31</v>
      </c>
    </row>
    <row r="365" spans="1:25" x14ac:dyDescent="0.3">
      <c r="A365" s="2"/>
      <c r="B365" s="51"/>
      <c r="D365" s="133" t="s">
        <v>285</v>
      </c>
      <c r="E365" s="134">
        <v>552590</v>
      </c>
      <c r="F365" s="93">
        <v>7779.63</v>
      </c>
      <c r="G365" s="94">
        <v>3608.25</v>
      </c>
      <c r="H365" s="94">
        <v>136.69</v>
      </c>
      <c r="I365" s="95">
        <v>193.05</v>
      </c>
      <c r="J365" s="135">
        <f>kulud!D328</f>
        <v>2251.1799999999998</v>
      </c>
      <c r="K365" s="131">
        <f>kulud!F365-kulud!G365-kulud!H365-kulud!I365-kulud!J365</f>
        <v>1590.46</v>
      </c>
      <c r="L365" s="133" t="s">
        <v>285</v>
      </c>
      <c r="M365" s="134">
        <v>552590</v>
      </c>
      <c r="N365" s="93">
        <v>0</v>
      </c>
      <c r="O365" s="94">
        <v>0</v>
      </c>
      <c r="P365" s="94">
        <v>0</v>
      </c>
      <c r="Q365" s="94">
        <v>0</v>
      </c>
      <c r="R365" s="95">
        <v>0</v>
      </c>
      <c r="S365" s="16">
        <f>kulud!N365-kulud!O365-kulud!P365-kulud!Q365-kulud!R365</f>
        <v>0</v>
      </c>
    </row>
    <row r="366" spans="1:25" x14ac:dyDescent="0.3">
      <c r="A366" s="2"/>
      <c r="B366" s="51"/>
      <c r="D366" s="133"/>
      <c r="E366" s="8"/>
      <c r="F366" s="20"/>
      <c r="J366" s="31"/>
    </row>
    <row r="367" spans="1:25" s="65" customFormat="1" x14ac:dyDescent="0.3">
      <c r="A367" s="61"/>
      <c r="B367" s="62"/>
      <c r="C367" s="63">
        <f>SUM(kulud!C360:C364)</f>
        <v>4000</v>
      </c>
      <c r="D367" s="64">
        <f>kulud!K365+kulud!D362</f>
        <v>1613.46</v>
      </c>
      <c r="K367" s="66"/>
      <c r="L367" s="64">
        <f>kulud!L362+kulud!S365</f>
        <v>160</v>
      </c>
      <c r="R367" s="66"/>
      <c r="S367" s="68">
        <f>kulud!S362</f>
        <v>4.45</v>
      </c>
    </row>
    <row r="368" spans="1:25" x14ac:dyDescent="0.3">
      <c r="A368" s="2" t="s">
        <v>374</v>
      </c>
      <c r="B368" s="51" t="s">
        <v>375</v>
      </c>
      <c r="C368" s="6">
        <f>752801-46368</f>
        <v>706433</v>
      </c>
      <c r="E368" s="21" t="s">
        <v>29</v>
      </c>
      <c r="F368" s="103" t="s">
        <v>376</v>
      </c>
      <c r="G368" s="103" t="s">
        <v>377</v>
      </c>
      <c r="H368" s="103" t="s">
        <v>378</v>
      </c>
      <c r="I368" s="22" t="s">
        <v>379</v>
      </c>
      <c r="J368" s="23" t="s">
        <v>380</v>
      </c>
      <c r="M368" s="21" t="s">
        <v>29</v>
      </c>
      <c r="N368" s="103" t="s">
        <v>376</v>
      </c>
      <c r="O368" s="103" t="s">
        <v>377</v>
      </c>
      <c r="P368" s="103" t="s">
        <v>378</v>
      </c>
      <c r="Q368" s="22" t="s">
        <v>379</v>
      </c>
      <c r="R368" s="131" t="s">
        <v>380</v>
      </c>
      <c r="T368" s="21" t="s">
        <v>29</v>
      </c>
      <c r="U368" s="103" t="s">
        <v>376</v>
      </c>
      <c r="V368" s="103" t="s">
        <v>377</v>
      </c>
      <c r="W368" s="103" t="s">
        <v>378</v>
      </c>
      <c r="X368" s="22" t="s">
        <v>379</v>
      </c>
      <c r="Y368" s="131" t="s">
        <v>380</v>
      </c>
    </row>
    <row r="369" spans="1:25" x14ac:dyDescent="0.3">
      <c r="A369" s="2"/>
      <c r="B369" s="51" t="s">
        <v>381</v>
      </c>
      <c r="C369" s="6">
        <v>46368</v>
      </c>
      <c r="D369" s="29" t="s">
        <v>382</v>
      </c>
      <c r="E369" s="24">
        <v>200438.67</v>
      </c>
      <c r="F369" s="81">
        <v>45632.3</v>
      </c>
      <c r="G369" s="81">
        <f>kulud!D9+kulud!D36+kulud!D107+kulud!D122+kulud!E139+kulud!D249+kulud!D332+kulud!D343</f>
        <v>11353.75</v>
      </c>
      <c r="H369">
        <v>0</v>
      </c>
      <c r="I369" s="117">
        <v>0</v>
      </c>
      <c r="J369" s="23">
        <f>kulud!E369-kulud!F369-kulud!G369-kulud!H369-kulud!I369</f>
        <v>143452.62</v>
      </c>
      <c r="L369" s="29" t="s">
        <v>382</v>
      </c>
      <c r="M369" s="24">
        <v>195421.48</v>
      </c>
      <c r="N369">
        <f>kulud!L421</f>
        <v>42881.88</v>
      </c>
      <c r="O369">
        <f>kulud!L9+kulud!L36+kulud!L107+kulud!L122+kulud!L139+kulud!L249</f>
        <v>5841</v>
      </c>
      <c r="P369">
        <v>0</v>
      </c>
      <c r="Q369" s="42">
        <v>0</v>
      </c>
      <c r="R369" s="136">
        <f>kulud!M369-kulud!N369-kulud!O369-kulud!P369-kulud!Q369</f>
        <v>146698.6</v>
      </c>
      <c r="S369" s="26" t="s">
        <v>382</v>
      </c>
      <c r="T369" s="24">
        <v>182701.34</v>
      </c>
      <c r="U369">
        <f>kulud!S421</f>
        <v>32978.120000000003</v>
      </c>
      <c r="V369">
        <f>kulud!S332+kulud!S375</f>
        <v>1617.45</v>
      </c>
      <c r="W369">
        <v>0</v>
      </c>
      <c r="X369" s="42">
        <v>0</v>
      </c>
      <c r="Y369" s="136">
        <f>kulud!T369-kulud!U369-kulud!V369-kulud!W369-kulud!X369</f>
        <v>148105.76999999999</v>
      </c>
    </row>
    <row r="370" spans="1:25" x14ac:dyDescent="0.3">
      <c r="A370" s="2"/>
      <c r="D370" s="29" t="s">
        <v>383</v>
      </c>
      <c r="E370" s="93">
        <v>67768.89</v>
      </c>
      <c r="F370" s="100">
        <v>15481.49</v>
      </c>
      <c r="G370" s="94">
        <v>0</v>
      </c>
      <c r="H370" s="94">
        <f>kulud!D10+kulud!D37+kulud!D108+kulud!D123+kulud!E140+kulud!D250+kulud!D333+kulud!D344</f>
        <v>3746.7900000000004</v>
      </c>
      <c r="I370" s="95">
        <f>kulud!D11+kulud!D38+kulud!D109+kulud!D124+kulud!E141+kulud!D251+kulud!D334+kulud!D345</f>
        <v>90.86999999999999</v>
      </c>
      <c r="J370" s="23">
        <f>kulud!E370-kulud!F370-kulud!G370-kulud!H370-kulud!I370</f>
        <v>48449.74</v>
      </c>
      <c r="L370" s="29" t="s">
        <v>383</v>
      </c>
      <c r="M370" s="93">
        <v>66075.03</v>
      </c>
      <c r="N370" s="94">
        <f>kulud!L422</f>
        <v>14530.53</v>
      </c>
      <c r="O370" s="94">
        <v>0</v>
      </c>
      <c r="P370" s="94">
        <f>kulud!L10+kulud!L37+kulud!L108+kulud!L123+kulud!L140+kulud!L250</f>
        <v>1927.58</v>
      </c>
      <c r="Q370" s="95">
        <f>kulud!L11+kulud!L38+kulud!L109+kulud!L124+kulud!L141+kulud!L251</f>
        <v>46.739999999999995</v>
      </c>
      <c r="R370" s="136">
        <f>kulud!M370-kulud!N370-kulud!O370-kulud!P370-kulud!Q370</f>
        <v>49570.18</v>
      </c>
      <c r="S370" s="26" t="s">
        <v>383</v>
      </c>
      <c r="T370" s="93">
        <v>61835.21</v>
      </c>
      <c r="U370" s="94">
        <f>kulud!S422</f>
        <v>11201.67</v>
      </c>
      <c r="V370" s="94">
        <v>0</v>
      </c>
      <c r="W370" s="94">
        <f>kulud!S333+kulud!S376</f>
        <v>533.77</v>
      </c>
      <c r="X370" s="95">
        <f>kulud!S334+kulud!S377</f>
        <v>12.95</v>
      </c>
      <c r="Y370" s="136">
        <f>kulud!T370-kulud!U370-kulud!V370-kulud!W370-kulud!X370</f>
        <v>50086.820000000007</v>
      </c>
    </row>
    <row r="371" spans="1:25" x14ac:dyDescent="0.3">
      <c r="A371" s="2"/>
      <c r="B371" s="51" t="s">
        <v>384</v>
      </c>
      <c r="C371" s="6">
        <v>5000</v>
      </c>
      <c r="J371" s="137"/>
    </row>
    <row r="372" spans="1:25" x14ac:dyDescent="0.3">
      <c r="A372" s="2"/>
      <c r="B372" s="51" t="s">
        <v>385</v>
      </c>
      <c r="C372" s="6">
        <v>15000</v>
      </c>
    </row>
    <row r="373" spans="1:25" x14ac:dyDescent="0.3">
      <c r="A373" s="2"/>
      <c r="B373" s="51"/>
      <c r="C373" s="6"/>
      <c r="L373" s="57">
        <v>13.94</v>
      </c>
      <c r="M373" s="8">
        <v>601520</v>
      </c>
      <c r="N373" s="60" t="s">
        <v>386</v>
      </c>
    </row>
    <row r="374" spans="1:25" x14ac:dyDescent="0.3">
      <c r="A374" s="2"/>
      <c r="B374" s="51" t="s">
        <v>387</v>
      </c>
      <c r="C374" s="6">
        <v>5000</v>
      </c>
      <c r="N374" s="60"/>
    </row>
    <row r="375" spans="1:25" x14ac:dyDescent="0.3">
      <c r="A375" s="2"/>
      <c r="B375" s="138" t="s">
        <v>388</v>
      </c>
      <c r="D375" s="57">
        <v>6548.89</v>
      </c>
      <c r="E375" s="8">
        <v>552530</v>
      </c>
      <c r="L375" s="52"/>
      <c r="M375" s="53"/>
      <c r="N375" s="54"/>
      <c r="O375" s="54"/>
      <c r="P375" s="54"/>
      <c r="R375" s="139" t="s">
        <v>389</v>
      </c>
      <c r="S375" s="5">
        <v>767.25</v>
      </c>
      <c r="T375" s="110">
        <v>500500</v>
      </c>
      <c r="U375" s="111" t="s">
        <v>89</v>
      </c>
    </row>
    <row r="376" spans="1:25" x14ac:dyDescent="0.3">
      <c r="A376" s="2"/>
      <c r="B376" s="138"/>
      <c r="D376" s="57"/>
      <c r="E376" s="8"/>
      <c r="L376" s="52"/>
      <c r="M376" s="53"/>
      <c r="N376" s="54"/>
      <c r="O376" s="54"/>
      <c r="P376" s="54"/>
      <c r="S376" s="5">
        <v>253.21</v>
      </c>
      <c r="T376" s="110">
        <v>506000</v>
      </c>
      <c r="U376" s="111" t="s">
        <v>90</v>
      </c>
      <c r="X376" s="140" t="s">
        <v>390</v>
      </c>
    </row>
    <row r="377" spans="1:25" x14ac:dyDescent="0.3">
      <c r="A377" s="2"/>
      <c r="B377" s="138"/>
      <c r="D377" s="57"/>
      <c r="E377" s="8"/>
      <c r="L377" s="52"/>
      <c r="M377" s="53"/>
      <c r="N377" s="54"/>
      <c r="O377" s="54"/>
      <c r="P377" s="54"/>
      <c r="S377" s="5">
        <v>6.14</v>
      </c>
      <c r="T377" s="110">
        <v>506040</v>
      </c>
      <c r="U377" s="111" t="s">
        <v>91</v>
      </c>
    </row>
    <row r="378" spans="1:25" x14ac:dyDescent="0.3">
      <c r="A378" s="2"/>
      <c r="B378" s="138"/>
      <c r="D378" s="57"/>
      <c r="E378" s="8"/>
      <c r="L378" s="52"/>
      <c r="M378" s="53"/>
      <c r="N378" s="54"/>
      <c r="O378" s="54"/>
      <c r="P378" s="54"/>
    </row>
    <row r="379" spans="1:25" x14ac:dyDescent="0.3">
      <c r="A379" s="2"/>
      <c r="B379" s="138"/>
      <c r="D379" s="57"/>
      <c r="E379" s="8"/>
      <c r="L379" s="52"/>
      <c r="M379" s="53"/>
      <c r="N379" s="54"/>
      <c r="O379" s="54"/>
      <c r="P379" s="54"/>
    </row>
    <row r="380" spans="1:25" x14ac:dyDescent="0.3">
      <c r="A380" s="2"/>
      <c r="B380" s="138"/>
      <c r="D380" s="57"/>
      <c r="E380" s="8"/>
      <c r="L380" s="52"/>
      <c r="M380" s="53"/>
      <c r="N380" s="54"/>
      <c r="O380" s="54"/>
      <c r="P380" s="54"/>
    </row>
    <row r="381" spans="1:25" x14ac:dyDescent="0.3">
      <c r="A381" s="2"/>
      <c r="B381" s="51" t="s">
        <v>391</v>
      </c>
      <c r="C381" s="6">
        <f>2200*12+10000</f>
        <v>36400</v>
      </c>
      <c r="D381" s="57"/>
      <c r="E381" s="8"/>
      <c r="L381" s="52">
        <v>6420</v>
      </c>
      <c r="M381" s="53">
        <v>552530</v>
      </c>
      <c r="N381" s="54" t="s">
        <v>392</v>
      </c>
      <c r="O381" s="54"/>
      <c r="P381" s="54"/>
      <c r="S381" s="141">
        <v>7062</v>
      </c>
      <c r="T381" s="53">
        <v>552530</v>
      </c>
      <c r="U381" s="54" t="s">
        <v>392</v>
      </c>
    </row>
    <row r="382" spans="1:25" x14ac:dyDescent="0.3">
      <c r="A382" s="2"/>
      <c r="B382" s="138"/>
      <c r="D382" s="57"/>
      <c r="E382" s="8"/>
      <c r="L382" s="52"/>
      <c r="M382" s="53"/>
      <c r="N382" s="54"/>
      <c r="O382" s="54"/>
      <c r="P382" s="54"/>
      <c r="S382" s="141">
        <v>1260</v>
      </c>
      <c r="T382" s="53">
        <v>552530</v>
      </c>
      <c r="U382" s="54" t="s">
        <v>393</v>
      </c>
    </row>
    <row r="383" spans="1:25" x14ac:dyDescent="0.3">
      <c r="A383" s="2"/>
      <c r="B383" s="138"/>
      <c r="D383" s="57"/>
      <c r="E383" s="8"/>
      <c r="K383" s="142"/>
      <c r="L383" s="143"/>
      <c r="M383" s="53"/>
      <c r="N383" s="54"/>
      <c r="S383" s="141">
        <v>109.72</v>
      </c>
      <c r="T383" s="53">
        <v>552530</v>
      </c>
      <c r="U383" s="54" t="s">
        <v>394</v>
      </c>
    </row>
    <row r="384" spans="1:25" s="65" customFormat="1" x14ac:dyDescent="0.3">
      <c r="A384" s="61"/>
      <c r="B384" s="62"/>
      <c r="C384" s="63">
        <f>SUM(kulud!C368:C374)</f>
        <v>777801</v>
      </c>
      <c r="D384" s="64">
        <f>kulud!J369+kulud!J370+kulud!D375</f>
        <v>198451.25</v>
      </c>
      <c r="K384" s="66"/>
      <c r="L384" s="64">
        <f>kulud!R369+kulud!R370+kulud!L373+kulud!L381</f>
        <v>202702.72</v>
      </c>
      <c r="R384" s="66"/>
      <c r="S384" s="68">
        <f>kulud!Y369+kulud!Y370+kulud!S375+kulud!S376+kulud!S377+kulud!S381+kulud!S382+kulud!S383</f>
        <v>207650.91</v>
      </c>
    </row>
    <row r="385" spans="1:22" s="8" customFormat="1" x14ac:dyDescent="0.3">
      <c r="A385" s="40"/>
      <c r="B385" s="47"/>
      <c r="C385" s="48"/>
      <c r="D385" s="38"/>
      <c r="K385" s="50"/>
      <c r="L385" s="38"/>
      <c r="R385" s="50"/>
      <c r="S385" s="19" t="s">
        <v>395</v>
      </c>
      <c r="T385" s="144" t="s">
        <v>117</v>
      </c>
    </row>
    <row r="386" spans="1:22" ht="18" x14ac:dyDescent="0.35">
      <c r="A386" s="145" t="s">
        <v>396</v>
      </c>
      <c r="B386" s="47" t="s">
        <v>397</v>
      </c>
      <c r="C386" s="6">
        <v>100000</v>
      </c>
      <c r="D386" s="57">
        <v>285.83</v>
      </c>
      <c r="E386" s="8">
        <v>552530</v>
      </c>
      <c r="K386" s="146" t="s">
        <v>397</v>
      </c>
      <c r="L386" s="57">
        <v>0</v>
      </c>
      <c r="M386" s="8">
        <v>552530</v>
      </c>
      <c r="S386" s="5">
        <v>833.12</v>
      </c>
      <c r="T386" s="8">
        <v>550301</v>
      </c>
      <c r="U386" t="s">
        <v>398</v>
      </c>
    </row>
    <row r="387" spans="1:22" x14ac:dyDescent="0.3">
      <c r="A387" s="2"/>
      <c r="B387" s="51">
        <v>2</v>
      </c>
      <c r="C387" s="6">
        <v>30000</v>
      </c>
      <c r="S387" s="5">
        <v>16041.05</v>
      </c>
      <c r="T387" s="8">
        <v>550302</v>
      </c>
      <c r="U387" t="s">
        <v>399</v>
      </c>
    </row>
    <row r="388" spans="1:22" x14ac:dyDescent="0.3">
      <c r="A388" s="2"/>
      <c r="B388" s="51">
        <v>3</v>
      </c>
      <c r="C388" s="6">
        <v>15000</v>
      </c>
      <c r="S388" s="5">
        <v>754.2</v>
      </c>
      <c r="T388" s="8">
        <v>550303</v>
      </c>
      <c r="U388" t="s">
        <v>400</v>
      </c>
    </row>
    <row r="389" spans="1:22" x14ac:dyDescent="0.3">
      <c r="A389" s="2"/>
      <c r="B389" s="51">
        <v>4</v>
      </c>
      <c r="C389" s="6">
        <v>0</v>
      </c>
      <c r="S389" s="5">
        <v>7752</v>
      </c>
      <c r="T389" s="8">
        <v>550304</v>
      </c>
      <c r="U389" t="s">
        <v>401</v>
      </c>
    </row>
    <row r="390" spans="1:22" x14ac:dyDescent="0.3">
      <c r="A390" s="2"/>
      <c r="B390" s="51">
        <v>5</v>
      </c>
      <c r="C390" s="6">
        <v>0</v>
      </c>
      <c r="S390" s="5">
        <v>224.97</v>
      </c>
      <c r="T390" s="8">
        <v>550309</v>
      </c>
      <c r="U390" t="s">
        <v>402</v>
      </c>
    </row>
    <row r="391" spans="1:22" x14ac:dyDescent="0.3">
      <c r="A391" s="2"/>
      <c r="B391" s="51">
        <v>6</v>
      </c>
      <c r="C391" s="6">
        <v>0</v>
      </c>
      <c r="S391" s="5">
        <v>3308</v>
      </c>
      <c r="T391" s="8">
        <v>552510</v>
      </c>
      <c r="U391" t="s">
        <v>403</v>
      </c>
    </row>
    <row r="392" spans="1:22" x14ac:dyDescent="0.3">
      <c r="A392" s="2"/>
      <c r="B392" s="51"/>
      <c r="C392" s="6"/>
      <c r="S392" s="5">
        <v>14132.09</v>
      </c>
      <c r="T392" s="8">
        <v>552530</v>
      </c>
      <c r="U392" t="s">
        <v>404</v>
      </c>
    </row>
    <row r="393" spans="1:22" x14ac:dyDescent="0.3">
      <c r="A393" s="2"/>
      <c r="B393" s="51"/>
      <c r="C393" s="6"/>
      <c r="S393" s="5">
        <v>1076.8</v>
      </c>
      <c r="T393" s="8">
        <v>552530</v>
      </c>
      <c r="U393" t="s">
        <v>405</v>
      </c>
    </row>
    <row r="394" spans="1:22" x14ac:dyDescent="0.3">
      <c r="A394" s="2"/>
      <c r="B394" s="51"/>
      <c r="C394" s="6"/>
      <c r="S394" s="19">
        <f>SUM(kulud!S386:S393)</f>
        <v>44122.23</v>
      </c>
      <c r="T394" s="8" t="s">
        <v>406</v>
      </c>
      <c r="U394" s="8"/>
    </row>
    <row r="395" spans="1:22" x14ac:dyDescent="0.3">
      <c r="A395" s="2"/>
      <c r="B395" s="51"/>
      <c r="C395" s="6"/>
    </row>
    <row r="396" spans="1:22" x14ac:dyDescent="0.3">
      <c r="A396" s="2"/>
      <c r="B396" s="147" t="s">
        <v>22</v>
      </c>
      <c r="C396" s="6"/>
      <c r="S396" s="19" t="s">
        <v>22</v>
      </c>
      <c r="T396" s="144" t="s">
        <v>407</v>
      </c>
      <c r="U396" s="8"/>
      <c r="V396" s="8"/>
    </row>
    <row r="397" spans="1:22" x14ac:dyDescent="0.3">
      <c r="A397" s="2"/>
      <c r="B397" s="51"/>
      <c r="C397" s="6"/>
      <c r="S397" s="5">
        <v>45.44</v>
      </c>
      <c r="T397" s="8">
        <v>550011</v>
      </c>
      <c r="U397" t="s">
        <v>408</v>
      </c>
    </row>
    <row r="398" spans="1:22" x14ac:dyDescent="0.3">
      <c r="A398" s="2"/>
      <c r="B398" s="51"/>
      <c r="C398" s="6"/>
      <c r="S398" s="5">
        <v>1073.48</v>
      </c>
      <c r="T398" s="8">
        <v>550040</v>
      </c>
      <c r="U398" t="s">
        <v>409</v>
      </c>
    </row>
    <row r="399" spans="1:22" x14ac:dyDescent="0.3">
      <c r="A399" s="2"/>
      <c r="B399" s="51"/>
      <c r="C399" s="6"/>
      <c r="S399" s="5">
        <v>12831.22</v>
      </c>
      <c r="T399" s="8">
        <v>550301</v>
      </c>
      <c r="U399" t="s">
        <v>410</v>
      </c>
    </row>
    <row r="400" spans="1:22" x14ac:dyDescent="0.3">
      <c r="A400" s="2"/>
      <c r="B400" s="51"/>
      <c r="C400" s="6"/>
      <c r="S400" s="5">
        <v>10741.49</v>
      </c>
      <c r="T400" s="8">
        <v>550302</v>
      </c>
      <c r="U400" t="s">
        <v>411</v>
      </c>
    </row>
    <row r="401" spans="1:21" x14ac:dyDescent="0.3">
      <c r="A401" s="2"/>
      <c r="B401" s="51"/>
      <c r="C401" s="6"/>
      <c r="S401" s="5">
        <v>90.06</v>
      </c>
      <c r="T401" s="8">
        <v>550303</v>
      </c>
      <c r="U401" t="s">
        <v>412</v>
      </c>
    </row>
    <row r="402" spans="1:21" x14ac:dyDescent="0.3">
      <c r="A402" s="2"/>
      <c r="B402" s="51"/>
      <c r="C402" s="6"/>
      <c r="S402" s="5">
        <v>7850</v>
      </c>
      <c r="T402" s="8">
        <v>550304</v>
      </c>
      <c r="U402" t="s">
        <v>413</v>
      </c>
    </row>
    <row r="403" spans="1:21" x14ac:dyDescent="0.3">
      <c r="A403" s="2"/>
      <c r="B403" s="51"/>
      <c r="C403" s="6"/>
      <c r="S403" s="5">
        <v>394.93</v>
      </c>
      <c r="T403" s="8">
        <v>550309</v>
      </c>
      <c r="U403" t="s">
        <v>414</v>
      </c>
    </row>
    <row r="404" spans="1:21" x14ac:dyDescent="0.3">
      <c r="A404" s="2"/>
      <c r="B404" s="51"/>
      <c r="C404" s="6"/>
      <c r="S404" s="5">
        <v>10845.66</v>
      </c>
      <c r="T404" s="8">
        <v>552530</v>
      </c>
      <c r="U404" t="s">
        <v>415</v>
      </c>
    </row>
    <row r="405" spans="1:21" x14ac:dyDescent="0.3">
      <c r="A405" s="2"/>
      <c r="B405" s="51"/>
      <c r="C405" s="6"/>
      <c r="S405" s="5">
        <v>150</v>
      </c>
      <c r="T405" s="8">
        <v>552530</v>
      </c>
      <c r="U405" t="s">
        <v>416</v>
      </c>
    </row>
    <row r="406" spans="1:21" x14ac:dyDescent="0.3">
      <c r="A406" s="2"/>
      <c r="B406" s="51"/>
      <c r="C406" s="6"/>
      <c r="S406" s="19">
        <f>SUM(kulud!S397:S405)</f>
        <v>44022.28</v>
      </c>
      <c r="T406" s="8" t="s">
        <v>417</v>
      </c>
    </row>
    <row r="407" spans="1:21" x14ac:dyDescent="0.3">
      <c r="A407" s="2"/>
      <c r="B407" s="51"/>
      <c r="C407" s="6"/>
    </row>
    <row r="408" spans="1:21" x14ac:dyDescent="0.3">
      <c r="A408" s="2"/>
      <c r="B408" s="51"/>
      <c r="C408" s="6"/>
      <c r="S408" s="148" t="s">
        <v>418</v>
      </c>
      <c r="T408" s="144" t="s">
        <v>419</v>
      </c>
    </row>
    <row r="409" spans="1:21" x14ac:dyDescent="0.3">
      <c r="A409" s="2"/>
      <c r="B409" s="149" t="s">
        <v>418</v>
      </c>
      <c r="C409" s="6"/>
      <c r="K409" s="150" t="s">
        <v>21</v>
      </c>
      <c r="L409" s="151">
        <v>875</v>
      </c>
      <c r="M409" s="8">
        <v>550301</v>
      </c>
      <c r="N409" t="s">
        <v>162</v>
      </c>
      <c r="S409" s="5">
        <v>0</v>
      </c>
      <c r="T409" s="8">
        <v>550301</v>
      </c>
    </row>
    <row r="410" spans="1:21" x14ac:dyDescent="0.3">
      <c r="A410" s="2"/>
      <c r="B410" s="56"/>
      <c r="C410" s="6"/>
      <c r="K410" s="123"/>
      <c r="L410" s="151">
        <v>482.01</v>
      </c>
      <c r="M410" s="8">
        <v>550302</v>
      </c>
      <c r="N410" t="s">
        <v>130</v>
      </c>
      <c r="S410" s="5">
        <f>49.99-114.98</f>
        <v>-64.990000000000009</v>
      </c>
      <c r="T410" s="8">
        <v>550302</v>
      </c>
      <c r="U410" t="s">
        <v>420</v>
      </c>
    </row>
    <row r="411" spans="1:21" x14ac:dyDescent="0.3">
      <c r="A411" s="2"/>
      <c r="B411" s="56"/>
      <c r="C411" s="6"/>
      <c r="K411" s="123"/>
      <c r="L411" s="151">
        <v>33.18</v>
      </c>
      <c r="M411" s="8">
        <v>550303</v>
      </c>
      <c r="N411" t="s">
        <v>421</v>
      </c>
      <c r="S411" s="19">
        <f>SUM(kulud!S409:S410)</f>
        <v>-64.990000000000009</v>
      </c>
      <c r="T411" s="8" t="s">
        <v>422</v>
      </c>
    </row>
    <row r="412" spans="1:21" x14ac:dyDescent="0.3">
      <c r="A412" s="2"/>
      <c r="B412" s="56"/>
      <c r="C412" s="6"/>
      <c r="K412" s="123"/>
      <c r="L412" s="151">
        <v>3720</v>
      </c>
      <c r="M412" s="8">
        <v>550304</v>
      </c>
      <c r="N412" t="s">
        <v>423</v>
      </c>
    </row>
    <row r="413" spans="1:21" x14ac:dyDescent="0.3">
      <c r="A413" s="2"/>
      <c r="B413" s="56"/>
      <c r="C413" s="6"/>
      <c r="K413" s="123"/>
      <c r="L413" s="151">
        <v>35</v>
      </c>
      <c r="M413" s="8">
        <v>550309</v>
      </c>
      <c r="N413" t="s">
        <v>424</v>
      </c>
    </row>
    <row r="414" spans="1:21" x14ac:dyDescent="0.3">
      <c r="A414" s="2"/>
      <c r="B414" s="56"/>
      <c r="C414" s="6"/>
      <c r="K414" s="123"/>
      <c r="L414" s="151">
        <v>1900</v>
      </c>
      <c r="M414" s="8">
        <v>552530</v>
      </c>
      <c r="N414" t="s">
        <v>425</v>
      </c>
    </row>
    <row r="415" spans="1:21" x14ac:dyDescent="0.3">
      <c r="A415" s="2"/>
      <c r="B415" s="56"/>
      <c r="C415" s="6"/>
      <c r="K415" s="123"/>
      <c r="L415" s="151">
        <v>1475</v>
      </c>
      <c r="M415" s="8">
        <v>552530</v>
      </c>
      <c r="N415" t="s">
        <v>426</v>
      </c>
    </row>
    <row r="416" spans="1:21" x14ac:dyDescent="0.3">
      <c r="A416" s="2"/>
      <c r="B416" s="56"/>
      <c r="C416" s="6"/>
      <c r="K416" s="152"/>
      <c r="L416" s="153">
        <f>kulud!L409+kulud!L410+kulud!L411+kulud!L412+kulud!L413+kulud!L414+kulud!L415</f>
        <v>8520.19</v>
      </c>
      <c r="M416" s="154" t="s">
        <v>427</v>
      </c>
    </row>
    <row r="417" spans="1:25" ht="18" x14ac:dyDescent="0.35">
      <c r="A417" s="2"/>
      <c r="B417" s="56"/>
      <c r="C417" s="6"/>
      <c r="K417" s="152"/>
      <c r="L417" s="57">
        <v>2575.7199999999998</v>
      </c>
      <c r="M417" s="8">
        <v>552510</v>
      </c>
      <c r="N417" s="60" t="s">
        <v>428</v>
      </c>
      <c r="R417" s="155" t="s">
        <v>429</v>
      </c>
      <c r="S417" s="156"/>
    </row>
    <row r="418" spans="1:25" x14ac:dyDescent="0.3">
      <c r="A418" s="2"/>
      <c r="B418" s="56"/>
      <c r="C418" s="6"/>
      <c r="K418" s="152"/>
      <c r="L418" s="153"/>
      <c r="M418" s="154"/>
    </row>
    <row r="419" spans="1:25" x14ac:dyDescent="0.3">
      <c r="A419" s="2"/>
      <c r="B419" s="56" t="s">
        <v>430</v>
      </c>
      <c r="D419" s="57">
        <v>3405</v>
      </c>
      <c r="E419" s="8">
        <v>552530</v>
      </c>
      <c r="L419" s="57">
        <v>0</v>
      </c>
      <c r="M419" s="8">
        <v>552530</v>
      </c>
    </row>
    <row r="420" spans="1:25" s="65" customFormat="1" x14ac:dyDescent="0.3">
      <c r="A420" s="61"/>
      <c r="B420" s="62"/>
      <c r="C420" s="63">
        <f>SUM(kulud!C386:C391)</f>
        <v>145000</v>
      </c>
      <c r="D420" s="64">
        <f>kulud!D386+kulud!D419</f>
        <v>3690.83</v>
      </c>
      <c r="K420" s="66"/>
      <c r="L420" s="64">
        <f>kulud!L416+kulud!L417</f>
        <v>11095.91</v>
      </c>
      <c r="R420" s="66"/>
      <c r="S420" s="68">
        <f>kulud!S394+kulud!S406+kulud!S411</f>
        <v>88079.52</v>
      </c>
    </row>
    <row r="421" spans="1:25" x14ac:dyDescent="0.3">
      <c r="A421" s="2" t="s">
        <v>25</v>
      </c>
      <c r="B421" s="51" t="s">
        <v>431</v>
      </c>
      <c r="C421" s="6">
        <f>tulud!B16/2.9</f>
        <v>156896.55172413794</v>
      </c>
      <c r="D421" s="57">
        <v>45632.3</v>
      </c>
      <c r="E421" s="8" t="s">
        <v>382</v>
      </c>
      <c r="L421" s="57">
        <v>42881.88</v>
      </c>
      <c r="M421" s="8" t="s">
        <v>382</v>
      </c>
      <c r="S421" s="5">
        <v>32978.120000000003</v>
      </c>
      <c r="T421" s="8" t="s">
        <v>382</v>
      </c>
    </row>
    <row r="422" spans="1:25" x14ac:dyDescent="0.3">
      <c r="A422" s="2"/>
      <c r="B422" s="51" t="s">
        <v>93</v>
      </c>
      <c r="C422" s="6">
        <v>12000</v>
      </c>
      <c r="D422" s="57">
        <v>15481.49</v>
      </c>
      <c r="E422" s="8" t="s">
        <v>432</v>
      </c>
      <c r="L422" s="57">
        <v>14530.53</v>
      </c>
      <c r="M422" s="8" t="s">
        <v>432</v>
      </c>
      <c r="S422" s="5">
        <v>11201.67</v>
      </c>
      <c r="T422" s="8" t="s">
        <v>432</v>
      </c>
    </row>
    <row r="423" spans="1:25" x14ac:dyDescent="0.3">
      <c r="A423" s="2"/>
      <c r="B423" s="51" t="s">
        <v>375</v>
      </c>
      <c r="C423" s="6">
        <f>21000*12</f>
        <v>252000</v>
      </c>
      <c r="D423" s="57">
        <v>57598.18</v>
      </c>
      <c r="E423" s="8" t="s">
        <v>433</v>
      </c>
      <c r="L423" s="57">
        <v>47965.48</v>
      </c>
      <c r="M423" s="8" t="s">
        <v>433</v>
      </c>
      <c r="S423" s="5">
        <v>15621.91</v>
      </c>
      <c r="T423" s="8" t="s">
        <v>433</v>
      </c>
      <c r="Y423" s="8"/>
    </row>
    <row r="424" spans="1:25" x14ac:dyDescent="0.3">
      <c r="A424" s="2"/>
      <c r="B424" s="51" t="s">
        <v>434</v>
      </c>
      <c r="C424" s="6">
        <v>5000</v>
      </c>
      <c r="L424" s="57"/>
    </row>
    <row r="425" spans="1:25" x14ac:dyDescent="0.3">
      <c r="A425" s="2"/>
      <c r="B425" s="51" t="s">
        <v>243</v>
      </c>
      <c r="C425" s="6">
        <v>5000</v>
      </c>
      <c r="L425" s="57"/>
    </row>
    <row r="426" spans="1:25" x14ac:dyDescent="0.3">
      <c r="A426" s="2"/>
      <c r="B426" s="51" t="s">
        <v>236</v>
      </c>
      <c r="C426" s="6">
        <v>3000</v>
      </c>
      <c r="L426" s="57"/>
    </row>
    <row r="427" spans="1:25" x14ac:dyDescent="0.3">
      <c r="B427" s="51" t="s">
        <v>364</v>
      </c>
      <c r="C427" s="6">
        <v>10000</v>
      </c>
      <c r="L427" s="57"/>
    </row>
    <row r="428" spans="1:25" s="65" customFormat="1" x14ac:dyDescent="0.3">
      <c r="B428" s="157"/>
      <c r="C428" s="63">
        <f>SUM(kulud!C421:C427)</f>
        <v>443896.55172413797</v>
      </c>
      <c r="D428" s="64">
        <f>kulud!D421+kulud!D422+kulud!D423</f>
        <v>118711.97</v>
      </c>
      <c r="E428" s="65" t="s">
        <v>435</v>
      </c>
      <c r="K428" s="66"/>
      <c r="L428" s="158">
        <f>kulud!L421+kulud!L422+kulud!L423</f>
        <v>105377.89</v>
      </c>
      <c r="M428" s="65" t="s">
        <v>435</v>
      </c>
      <c r="R428" s="66"/>
      <c r="S428" s="159">
        <f>kulud!S421+kulud!S422+kulud!S423</f>
        <v>59801.7</v>
      </c>
      <c r="T428" s="65" t="s">
        <v>435</v>
      </c>
    </row>
    <row r="430" spans="1:25" s="160" customFormat="1" x14ac:dyDescent="0.3">
      <c r="A430" s="160" t="s">
        <v>26</v>
      </c>
      <c r="B430" s="161"/>
      <c r="C430" s="162">
        <f>kulud!C428+kulud!C420+kulud!C384+kulud!C367+kulud!C359+kulud!C330+kulud!C307+kulud!C300+kulud!C286+kulud!C278+kulud!C270+kulud!C253+kulud!C226+kulud!C164+kulud!C148+kulud!C132+kulud!C116+kulud!C102+kulud!C91+kulud!C69+kulud!C56+kulud!C45+kulud!C17+kulud!C193+kulud!C203+kulud!C174</f>
        <v>2090831.0797241381</v>
      </c>
      <c r="D430" s="163">
        <f>kulud!D17+kulud!D45+kulud!D56+kulud!D69+kulud!D91+kulud!D102+kulud!D116+kulud!D132+kulud!E148+kulud!D164+kulud!D226+kulud!D253+kulud!D270+kulud!D278+kulud!D286+kulud!D300+kulud!D307+kulud!D330+kulud!D359+kulud!D367+kulud!D384+kulud!D420+kulud!D428</f>
        <v>491717.78299999994</v>
      </c>
      <c r="K430" s="164"/>
      <c r="L430" s="163"/>
      <c r="R430" s="164"/>
      <c r="S430" s="165"/>
    </row>
  </sheetData>
  <mergeCells count="2">
    <mergeCell ref="C1:K1"/>
    <mergeCell ref="L1:P1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6"/>
  <sheetViews>
    <sheetView topLeftCell="A64" zoomScale="85" zoomScaleNormal="85" workbookViewId="0">
      <selection activeCell="E58" sqref="E58"/>
    </sheetView>
  </sheetViews>
  <sheetFormatPr defaultColWidth="8.796875" defaultRowHeight="15.6" x14ac:dyDescent="0.3"/>
  <cols>
    <col min="1" max="1" width="19" customWidth="1"/>
    <col min="2" max="2" width="34.296875" customWidth="1"/>
    <col min="3" max="3" width="27.5" customWidth="1"/>
    <col min="4" max="4" width="35.69921875" customWidth="1"/>
    <col min="5" max="5" width="35" customWidth="1"/>
    <col min="6" max="10" width="37.5" customWidth="1"/>
    <col min="11" max="11" width="39.19921875" customWidth="1"/>
    <col min="12" max="12" width="34" customWidth="1"/>
    <col min="13" max="13" width="32.5" customWidth="1"/>
    <col min="14" max="14" width="29.296875" style="60" customWidth="1"/>
    <col min="15" max="15" width="39.19921875" style="60" customWidth="1"/>
    <col min="16" max="16" width="26" customWidth="1"/>
    <col min="17" max="17" width="8.5" customWidth="1"/>
    <col min="18" max="18" width="12.296875" style="166" customWidth="1"/>
    <col min="19" max="19" width="13.19921875" style="166" customWidth="1"/>
    <col min="20" max="21" width="8.5" customWidth="1"/>
    <col min="22" max="23" width="21.19921875" style="60" customWidth="1"/>
    <col min="24" max="1025" width="8.5" customWidth="1"/>
  </cols>
  <sheetData>
    <row r="1" spans="1:28" x14ac:dyDescent="0.3">
      <c r="A1" s="167"/>
      <c r="B1" s="60"/>
      <c r="C1" s="60"/>
      <c r="D1" s="60"/>
      <c r="E1" s="60"/>
      <c r="F1" s="60"/>
      <c r="G1" s="60"/>
      <c r="H1" s="60"/>
      <c r="I1" s="60"/>
      <c r="P1" s="166"/>
      <c r="Q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28" ht="21" x14ac:dyDescent="0.4">
      <c r="A2" s="167"/>
      <c r="B2" s="60"/>
      <c r="C2" s="60"/>
      <c r="D2" s="60"/>
      <c r="E2" s="60"/>
      <c r="F2" s="60"/>
      <c r="G2" s="60"/>
      <c r="H2" s="60"/>
      <c r="I2" s="60"/>
      <c r="M2" s="120" t="s">
        <v>436</v>
      </c>
      <c r="P2" s="166"/>
      <c r="Q2" s="166"/>
      <c r="R2" s="379" t="s">
        <v>437</v>
      </c>
      <c r="S2" s="379"/>
      <c r="T2" s="168"/>
      <c r="U2" s="166"/>
      <c r="V2" s="166"/>
      <c r="W2" s="166"/>
      <c r="X2" s="166"/>
      <c r="Y2" s="166"/>
      <c r="Z2" s="379" t="s">
        <v>437</v>
      </c>
      <c r="AA2" s="379"/>
      <c r="AB2" s="166"/>
    </row>
    <row r="3" spans="1:28" x14ac:dyDescent="0.3">
      <c r="A3" s="167"/>
      <c r="B3" s="60"/>
      <c r="C3" s="60"/>
      <c r="D3" s="60"/>
      <c r="E3" s="60"/>
      <c r="M3" s="169"/>
      <c r="N3" s="170"/>
      <c r="O3" s="171"/>
      <c r="P3" s="172" t="s">
        <v>438</v>
      </c>
      <c r="Q3" s="172" t="s">
        <v>439</v>
      </c>
      <c r="R3" s="172" t="s">
        <v>438</v>
      </c>
      <c r="S3" s="172" t="s">
        <v>439</v>
      </c>
      <c r="T3" s="172"/>
      <c r="U3" s="173"/>
      <c r="V3" s="174"/>
      <c r="W3" s="175"/>
      <c r="X3" s="172" t="s">
        <v>438</v>
      </c>
      <c r="Y3" s="172" t="s">
        <v>439</v>
      </c>
      <c r="Z3" s="172" t="s">
        <v>438</v>
      </c>
      <c r="AA3" s="172" t="s">
        <v>439</v>
      </c>
      <c r="AB3" s="166"/>
    </row>
    <row r="4" spans="1:28" x14ac:dyDescent="0.3">
      <c r="A4" s="167"/>
      <c r="B4" s="60"/>
      <c r="C4" s="60"/>
      <c r="D4" s="60"/>
      <c r="E4" s="60"/>
      <c r="M4" s="176" t="s">
        <v>440</v>
      </c>
      <c r="N4" s="177">
        <v>42392</v>
      </c>
      <c r="O4" s="178" t="s">
        <v>441</v>
      </c>
      <c r="P4" s="173">
        <v>3924.4</v>
      </c>
      <c r="Q4" s="173">
        <v>146.29</v>
      </c>
      <c r="R4" s="173">
        <v>1083.02</v>
      </c>
      <c r="S4" s="173">
        <v>45.34</v>
      </c>
      <c r="T4" s="173"/>
      <c r="U4" s="172" t="s">
        <v>442</v>
      </c>
      <c r="V4" s="179">
        <v>42461</v>
      </c>
      <c r="W4" s="180" t="s">
        <v>443</v>
      </c>
      <c r="X4" s="173">
        <v>4476.87</v>
      </c>
      <c r="Y4" s="173">
        <v>52.17</v>
      </c>
      <c r="Z4" s="173">
        <v>1377.98</v>
      </c>
      <c r="AA4" s="173">
        <v>21.57</v>
      </c>
      <c r="AB4" s="166"/>
    </row>
    <row r="5" spans="1:28" x14ac:dyDescent="0.3">
      <c r="A5" s="60"/>
      <c r="B5" s="60"/>
      <c r="C5" s="60"/>
      <c r="D5" s="60"/>
      <c r="E5" s="60"/>
      <c r="M5" s="181"/>
      <c r="N5" s="177">
        <v>42413</v>
      </c>
      <c r="O5" s="178" t="s">
        <v>444</v>
      </c>
      <c r="P5" s="173">
        <v>4096.25</v>
      </c>
      <c r="Q5" s="173">
        <v>131.08000000000001</v>
      </c>
      <c r="R5" s="173">
        <v>1195.8499999999999</v>
      </c>
      <c r="S5" s="173">
        <v>52.02</v>
      </c>
      <c r="T5" s="173"/>
      <c r="U5" s="173"/>
      <c r="V5" s="179">
        <v>42496</v>
      </c>
      <c r="W5" s="180" t="s">
        <v>441</v>
      </c>
      <c r="X5" s="173">
        <v>4919.2700000000004</v>
      </c>
      <c r="Y5" s="173">
        <v>232</v>
      </c>
      <c r="Z5" s="173">
        <v>1310.48</v>
      </c>
      <c r="AA5" s="173">
        <v>63.99</v>
      </c>
      <c r="AB5" s="166"/>
    </row>
    <row r="6" spans="1:28" x14ac:dyDescent="0.3">
      <c r="A6" s="60"/>
      <c r="B6" s="60"/>
      <c r="C6" s="60"/>
      <c r="D6" s="60"/>
      <c r="E6" s="60"/>
      <c r="M6" s="181"/>
      <c r="N6" s="177">
        <v>42434</v>
      </c>
      <c r="O6" s="178" t="s">
        <v>445</v>
      </c>
      <c r="P6" s="173">
        <v>4697.41</v>
      </c>
      <c r="Q6" s="173">
        <v>29.15</v>
      </c>
      <c r="R6" s="173">
        <v>1113.33</v>
      </c>
      <c r="S6" s="173">
        <v>19.93</v>
      </c>
      <c r="T6" s="173"/>
      <c r="U6" s="173"/>
      <c r="V6" s="179">
        <v>42497</v>
      </c>
      <c r="W6" s="180" t="s">
        <v>443</v>
      </c>
      <c r="X6" s="173">
        <v>7194.05</v>
      </c>
      <c r="Y6" s="173">
        <v>52.5</v>
      </c>
      <c r="Z6" s="173">
        <v>2185.64</v>
      </c>
      <c r="AA6" s="173">
        <v>0.56000000000000005</v>
      </c>
      <c r="AB6" s="166"/>
    </row>
    <row r="7" spans="1:28" x14ac:dyDescent="0.3">
      <c r="A7" s="167"/>
      <c r="B7" s="167"/>
      <c r="C7" s="167"/>
      <c r="D7" s="167"/>
      <c r="E7" s="167"/>
      <c r="M7" s="181"/>
      <c r="N7" s="177">
        <v>42448</v>
      </c>
      <c r="O7" s="178" t="s">
        <v>441</v>
      </c>
      <c r="P7" s="173">
        <v>3326.44</v>
      </c>
      <c r="Q7" s="173">
        <v>31.04</v>
      </c>
      <c r="R7" s="173">
        <v>938.1</v>
      </c>
      <c r="S7" s="173">
        <v>11.84</v>
      </c>
      <c r="T7" s="173"/>
      <c r="U7" s="173"/>
      <c r="V7" s="179">
        <v>42542</v>
      </c>
      <c r="W7" s="180" t="s">
        <v>441</v>
      </c>
      <c r="X7" s="173">
        <v>1818.47</v>
      </c>
      <c r="Y7" s="173">
        <v>0</v>
      </c>
      <c r="Z7" s="173">
        <v>542.20000000000005</v>
      </c>
      <c r="AA7" s="173">
        <v>0</v>
      </c>
      <c r="AB7" s="166"/>
    </row>
    <row r="8" spans="1:28" x14ac:dyDescent="0.3">
      <c r="A8" s="167"/>
      <c r="B8" s="60"/>
      <c r="C8" s="60"/>
      <c r="D8" s="60"/>
      <c r="E8" s="60"/>
      <c r="M8" s="181"/>
      <c r="N8" s="177">
        <v>42456</v>
      </c>
      <c r="O8" s="178" t="s">
        <v>446</v>
      </c>
      <c r="P8" s="182">
        <v>5135.33</v>
      </c>
      <c r="Q8" s="182">
        <v>0</v>
      </c>
      <c r="R8" s="182">
        <v>1609.44</v>
      </c>
      <c r="S8" s="182">
        <v>0</v>
      </c>
      <c r="T8" s="182"/>
      <c r="U8" s="173"/>
      <c r="V8" s="174"/>
      <c r="W8" s="180" t="s">
        <v>26</v>
      </c>
      <c r="X8" s="172">
        <f>SUM(KOHVIK!X4:X7)</f>
        <v>18408.66</v>
      </c>
      <c r="Y8" s="172">
        <f>SUM(KOHVIK!Y4:Y7)</f>
        <v>336.67</v>
      </c>
      <c r="Z8" s="172">
        <f>SUM(KOHVIK!Z4:Z7)</f>
        <v>5416.3</v>
      </c>
      <c r="AA8" s="172">
        <f>SUM(KOHVIK!AA4:AA7)</f>
        <v>86.12</v>
      </c>
      <c r="AB8" s="166"/>
    </row>
    <row r="9" spans="1:28" ht="29.7" customHeight="1" x14ac:dyDescent="0.3">
      <c r="A9" s="167"/>
      <c r="B9" s="380"/>
      <c r="C9" s="380"/>
      <c r="D9" s="60"/>
      <c r="E9" s="60"/>
      <c r="M9" s="181"/>
      <c r="N9" s="170"/>
      <c r="O9" s="183" t="s">
        <v>26</v>
      </c>
      <c r="P9" s="184">
        <f>SUM(KOHVIK!P4:P8)</f>
        <v>21179.83</v>
      </c>
      <c r="Q9" s="184">
        <f>SUM(KOHVIK!Q4:Q8)</f>
        <v>337.56</v>
      </c>
      <c r="R9" s="184">
        <f>SUM(KOHVIK!R4:R8)</f>
        <v>5939.74</v>
      </c>
      <c r="S9" s="184">
        <f>SUM(KOHVIK!S4:S8)</f>
        <v>129.13000000000002</v>
      </c>
      <c r="T9" s="184"/>
      <c r="U9" s="173"/>
      <c r="V9" s="174"/>
      <c r="W9" s="175"/>
      <c r="X9" s="173"/>
      <c r="Y9" s="173"/>
      <c r="Z9" s="173"/>
      <c r="AA9" s="173"/>
      <c r="AB9" s="166"/>
    </row>
    <row r="10" spans="1:28" ht="15.75" customHeight="1" x14ac:dyDescent="0.3">
      <c r="A10" s="380"/>
      <c r="B10" s="380"/>
      <c r="C10" s="60"/>
      <c r="D10" s="60"/>
      <c r="E10" s="60"/>
      <c r="M10" s="176" t="s">
        <v>447</v>
      </c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6"/>
    </row>
    <row r="11" spans="1:28" x14ac:dyDescent="0.3">
      <c r="A11" s="60"/>
      <c r="B11" s="60"/>
      <c r="C11" s="60"/>
      <c r="D11" s="60"/>
      <c r="E11" s="60"/>
      <c r="M11" s="169"/>
      <c r="N11" s="177">
        <v>42616</v>
      </c>
      <c r="O11" s="178" t="s">
        <v>443</v>
      </c>
      <c r="P11" s="173">
        <v>3214.29</v>
      </c>
      <c r="Q11" s="173">
        <v>51.33</v>
      </c>
      <c r="R11" s="173">
        <v>1147.21</v>
      </c>
      <c r="S11" s="173">
        <v>12.72</v>
      </c>
      <c r="T11" s="173"/>
      <c r="U11" s="172" t="s">
        <v>448</v>
      </c>
      <c r="V11" s="179">
        <v>42658</v>
      </c>
      <c r="W11" s="180" t="s">
        <v>449</v>
      </c>
      <c r="X11" s="182">
        <v>899.34</v>
      </c>
      <c r="Y11" s="173">
        <v>179.48</v>
      </c>
      <c r="Z11" s="173">
        <v>332.43</v>
      </c>
      <c r="AA11" s="173">
        <v>49.62</v>
      </c>
      <c r="AB11" s="166"/>
    </row>
    <row r="12" spans="1:28" x14ac:dyDescent="0.3">
      <c r="A12" s="60"/>
      <c r="B12" s="60"/>
      <c r="C12" s="60"/>
      <c r="D12" s="60"/>
      <c r="E12" s="60"/>
      <c r="M12" s="169"/>
      <c r="N12" s="170"/>
      <c r="O12" s="185" t="s">
        <v>26</v>
      </c>
      <c r="P12" s="172">
        <f>SUM(KOHVIK!P11)</f>
        <v>3214.29</v>
      </c>
      <c r="Q12" s="172">
        <f>SUM(KOHVIK!Q11)</f>
        <v>51.33</v>
      </c>
      <c r="R12" s="172">
        <f>SUM(KOHVIK!R11)</f>
        <v>1147.21</v>
      </c>
      <c r="S12" s="172">
        <f>SUM(KOHVIK!S11)</f>
        <v>12.72</v>
      </c>
      <c r="T12" s="172"/>
      <c r="U12" s="173"/>
      <c r="V12" s="179">
        <v>42664</v>
      </c>
      <c r="W12" s="180" t="s">
        <v>443</v>
      </c>
      <c r="X12" s="173">
        <v>3557.96</v>
      </c>
      <c r="Y12" s="173">
        <v>143.94</v>
      </c>
      <c r="Z12" s="173">
        <v>1163.53</v>
      </c>
      <c r="AA12" s="173">
        <v>38.659999999999997</v>
      </c>
      <c r="AB12" s="166"/>
    </row>
    <row r="13" spans="1:28" x14ac:dyDescent="0.3">
      <c r="A13" s="60"/>
      <c r="B13" s="60"/>
      <c r="C13" s="60"/>
      <c r="D13" s="60"/>
      <c r="E13" s="60"/>
      <c r="M13" s="178"/>
      <c r="N13" s="170"/>
      <c r="O13" s="171"/>
      <c r="P13" s="173"/>
      <c r="Q13" s="173"/>
      <c r="R13" s="173"/>
      <c r="S13" s="173"/>
      <c r="T13" s="173"/>
      <c r="U13" s="173"/>
      <c r="V13" s="179">
        <v>42671</v>
      </c>
      <c r="W13" s="180" t="s">
        <v>450</v>
      </c>
      <c r="X13" s="173">
        <v>3572.27</v>
      </c>
      <c r="Y13" s="173">
        <v>419.79</v>
      </c>
      <c r="Z13" s="173">
        <v>1078.8800000000001</v>
      </c>
      <c r="AA13" s="173">
        <v>116.33</v>
      </c>
      <c r="AB13" s="166"/>
    </row>
    <row r="14" spans="1:28" ht="15.75" customHeight="1" x14ac:dyDescent="0.3">
      <c r="A14" s="380"/>
      <c r="B14" s="380"/>
      <c r="C14" s="60"/>
      <c r="D14" s="60"/>
      <c r="E14" s="60"/>
      <c r="M14" s="171"/>
      <c r="N14" s="170"/>
      <c r="O14" s="171"/>
      <c r="P14" s="175"/>
      <c r="Q14" s="175"/>
      <c r="R14" s="175"/>
      <c r="S14" s="175"/>
      <c r="T14" s="175"/>
      <c r="U14" s="175"/>
      <c r="V14" s="179">
        <v>42685</v>
      </c>
      <c r="W14" s="180" t="s">
        <v>451</v>
      </c>
      <c r="X14" s="182">
        <v>4292.3999999999996</v>
      </c>
      <c r="Y14" s="182">
        <v>110.32</v>
      </c>
      <c r="Z14" s="173">
        <v>1507.89</v>
      </c>
      <c r="AA14" s="173">
        <v>42.35</v>
      </c>
      <c r="AB14" s="166"/>
    </row>
    <row r="15" spans="1:28" x14ac:dyDescent="0.3">
      <c r="A15" s="60"/>
      <c r="B15" s="60"/>
      <c r="M15" s="171"/>
      <c r="N15" s="170"/>
      <c r="O15" s="171"/>
      <c r="P15" s="175"/>
      <c r="Q15" s="175"/>
      <c r="R15" s="175"/>
      <c r="S15" s="175"/>
      <c r="T15" s="175"/>
      <c r="U15" s="175"/>
      <c r="V15" s="179" t="s">
        <v>452</v>
      </c>
      <c r="W15" s="180" t="s">
        <v>453</v>
      </c>
      <c r="X15" s="182">
        <v>404.83</v>
      </c>
      <c r="Y15" s="182">
        <v>436.3</v>
      </c>
      <c r="Z15" s="173">
        <v>122.53</v>
      </c>
      <c r="AA15" s="173">
        <v>143.53</v>
      </c>
      <c r="AB15" s="166"/>
    </row>
    <row r="16" spans="1:28" ht="18" x14ac:dyDescent="0.35">
      <c r="A16" s="186" t="s">
        <v>4</v>
      </c>
      <c r="B16" s="187" t="s">
        <v>454</v>
      </c>
      <c r="D16" s="188"/>
      <c r="E16" s="188"/>
      <c r="M16" s="169"/>
      <c r="N16" s="189"/>
      <c r="O16" s="171"/>
      <c r="P16" s="175"/>
      <c r="Q16" s="175"/>
      <c r="R16" s="175"/>
      <c r="S16" s="175"/>
      <c r="T16" s="175"/>
      <c r="U16" s="180"/>
      <c r="V16" s="179">
        <v>42713</v>
      </c>
      <c r="W16" s="180" t="s">
        <v>455</v>
      </c>
      <c r="X16" s="182">
        <v>2937.01</v>
      </c>
      <c r="Y16" s="182">
        <v>20</v>
      </c>
      <c r="Z16" s="173">
        <v>770.73</v>
      </c>
      <c r="AA16" s="173">
        <v>5</v>
      </c>
      <c r="AB16" s="166"/>
    </row>
    <row r="17" spans="1:28" x14ac:dyDescent="0.3">
      <c r="A17" s="190">
        <v>2016</v>
      </c>
      <c r="B17" s="381" t="s">
        <v>456</v>
      </c>
      <c r="C17" s="381"/>
      <c r="D17" s="191" t="s">
        <v>457</v>
      </c>
      <c r="E17" s="191" t="s">
        <v>458</v>
      </c>
      <c r="F17" s="192" t="s">
        <v>459</v>
      </c>
      <c r="G17" s="192" t="s">
        <v>460</v>
      </c>
      <c r="H17" s="192" t="s">
        <v>461</v>
      </c>
      <c r="I17" s="193" t="s">
        <v>462</v>
      </c>
      <c r="J17" s="194" t="s">
        <v>463</v>
      </c>
      <c r="K17" s="195" t="s">
        <v>464</v>
      </c>
      <c r="L17" s="196" t="s">
        <v>465</v>
      </c>
      <c r="M17" s="169"/>
      <c r="N17" s="169"/>
      <c r="O17" s="169"/>
      <c r="P17" s="166"/>
      <c r="Q17" s="166"/>
      <c r="R17" s="379" t="s">
        <v>437</v>
      </c>
      <c r="S17" s="379"/>
      <c r="T17" s="180"/>
      <c r="U17" s="175"/>
      <c r="V17" s="179">
        <v>42721</v>
      </c>
      <c r="W17" s="180" t="s">
        <v>443</v>
      </c>
      <c r="X17" s="182">
        <v>5612.49</v>
      </c>
      <c r="Y17" s="182">
        <v>33.83</v>
      </c>
      <c r="Z17" s="173">
        <v>2138.52</v>
      </c>
      <c r="AA17" s="173">
        <v>9.92</v>
      </c>
      <c r="AB17" s="166"/>
    </row>
    <row r="18" spans="1:28" x14ac:dyDescent="0.3">
      <c r="A18" s="382" t="s">
        <v>466</v>
      </c>
      <c r="B18" s="197" t="s">
        <v>438</v>
      </c>
      <c r="C18" s="198">
        <v>0</v>
      </c>
      <c r="D18" s="198">
        <f>KOHVIK!P9</f>
        <v>21179.83</v>
      </c>
      <c r="E18" s="198">
        <f>KOHVIK!F18-KOHVIK!C18-KOHVIK!D18</f>
        <v>30445.239999999998</v>
      </c>
      <c r="F18" s="199">
        <v>51625.07</v>
      </c>
      <c r="G18" s="199"/>
      <c r="H18" s="199">
        <f>KOHVIK!F18</f>
        <v>51625.07</v>
      </c>
      <c r="I18" s="383">
        <v>94184.960000000006</v>
      </c>
      <c r="J18" s="384">
        <v>20240.84</v>
      </c>
      <c r="K18" s="379">
        <f>KOHVIK!F18+KOHVIK!F19+KOHVIK!J18</f>
        <v>117636.29999999999</v>
      </c>
      <c r="L18" s="385">
        <f>KOHVIK!I18+KOHVIK!J18</f>
        <v>114425.8</v>
      </c>
      <c r="M18" s="176" t="s">
        <v>467</v>
      </c>
      <c r="N18" s="169"/>
      <c r="O18" s="169"/>
      <c r="P18" s="172" t="s">
        <v>438</v>
      </c>
      <c r="Q18" s="172" t="s">
        <v>439</v>
      </c>
      <c r="R18" s="172" t="s">
        <v>438</v>
      </c>
      <c r="S18" s="172" t="s">
        <v>439</v>
      </c>
      <c r="T18" s="175"/>
      <c r="U18" s="200"/>
      <c r="V18" s="179"/>
      <c r="W18" s="180" t="s">
        <v>26</v>
      </c>
      <c r="X18" s="201">
        <f>SUM(KOHVIK!X11:X17)</f>
        <v>21276.3</v>
      </c>
      <c r="Y18" s="201">
        <f>SUM(KOHVIK!Y11:Y17)</f>
        <v>1343.6599999999999</v>
      </c>
      <c r="Z18" s="201">
        <f>SUM(KOHVIK!Z11:Z17)</f>
        <v>7114.51</v>
      </c>
      <c r="AA18" s="201">
        <f>SUM(KOHVIK!AA11:AA17)</f>
        <v>405.41</v>
      </c>
      <c r="AB18" s="166"/>
    </row>
    <row r="19" spans="1:28" x14ac:dyDescent="0.3">
      <c r="A19" s="382"/>
      <c r="B19" s="197" t="s">
        <v>439</v>
      </c>
      <c r="C19" s="198">
        <v>22979.5</v>
      </c>
      <c r="D19" s="198">
        <f>KOHVIK!Q9</f>
        <v>337.56</v>
      </c>
      <c r="E19" s="198">
        <f>KOHVIK!F19-KOHVIK!C19-KOHVIK!D19</f>
        <v>22453.329999999998</v>
      </c>
      <c r="F19" s="199">
        <v>45770.39</v>
      </c>
      <c r="G19" s="199"/>
      <c r="H19" s="199">
        <f>KOHVIK!F19</f>
        <v>45770.39</v>
      </c>
      <c r="I19" s="383"/>
      <c r="J19" s="384"/>
      <c r="K19" s="379"/>
      <c r="L19" s="385"/>
      <c r="M19" s="189"/>
      <c r="N19" s="177">
        <v>42756</v>
      </c>
      <c r="O19" s="178" t="s">
        <v>468</v>
      </c>
      <c r="P19" s="175">
        <v>1269.98</v>
      </c>
      <c r="Q19" s="175">
        <v>72.75</v>
      </c>
      <c r="R19" s="175">
        <v>388.61</v>
      </c>
      <c r="S19" s="175">
        <v>18.149999999999999</v>
      </c>
      <c r="T19" s="175"/>
      <c r="U19" s="200"/>
      <c r="V19" s="174"/>
      <c r="W19" s="175"/>
      <c r="X19" s="173"/>
      <c r="Y19" s="173"/>
      <c r="Z19" s="173"/>
      <c r="AA19" s="173"/>
      <c r="AB19" s="166"/>
    </row>
    <row r="20" spans="1:28" x14ac:dyDescent="0.3">
      <c r="A20" s="190" t="s">
        <v>26</v>
      </c>
      <c r="B20" s="197"/>
      <c r="C20" s="197">
        <f>KOHVIK!C18+KOHVIK!C19</f>
        <v>22979.5</v>
      </c>
      <c r="D20" s="197">
        <f>KOHVIK!D18+KOHVIK!D19</f>
        <v>21517.390000000003</v>
      </c>
      <c r="E20" s="197">
        <f>KOHVIK!E18+KOHVIK!E19</f>
        <v>52898.569999999992</v>
      </c>
      <c r="F20" s="202">
        <f>KOHVIK!F18+KOHVIK!F19</f>
        <v>97395.459999999992</v>
      </c>
      <c r="G20" s="199"/>
      <c r="H20" s="202">
        <f>KOHVIK!F20</f>
        <v>97395.459999999992</v>
      </c>
      <c r="I20" s="383"/>
      <c r="J20" s="384"/>
      <c r="K20" s="379"/>
      <c r="L20" s="385"/>
      <c r="M20" s="189"/>
      <c r="N20" s="177"/>
      <c r="O20" s="178"/>
      <c r="P20" s="175"/>
      <c r="Q20" s="175"/>
      <c r="R20" s="175"/>
      <c r="S20" s="175"/>
      <c r="T20" s="175"/>
      <c r="U20" s="200"/>
      <c r="V20" s="174"/>
      <c r="W20" s="175"/>
      <c r="X20" s="173"/>
      <c r="Y20" s="173"/>
      <c r="Z20" s="173"/>
      <c r="AA20" s="173"/>
      <c r="AB20" s="166"/>
    </row>
    <row r="21" spans="1:28" x14ac:dyDescent="0.3">
      <c r="A21" s="386" t="s">
        <v>469</v>
      </c>
      <c r="B21" s="203" t="s">
        <v>438</v>
      </c>
      <c r="C21" s="204">
        <v>0</v>
      </c>
      <c r="D21" s="204">
        <f>X8</f>
        <v>18408.66</v>
      </c>
      <c r="E21" s="204">
        <f>KOHVIK!F21-KOHVIK!C21-KOHVIK!D21</f>
        <v>21056.44</v>
      </c>
      <c r="F21" s="205">
        <v>39465.1</v>
      </c>
      <c r="G21" s="205"/>
      <c r="H21" s="199">
        <f>KOHVIK!F21</f>
        <v>39465.1</v>
      </c>
      <c r="I21" s="383">
        <v>80255.399999999994</v>
      </c>
      <c r="J21" s="387">
        <v>25953.08</v>
      </c>
      <c r="K21" s="379">
        <f>KOHVIK!F21+KOHVIK!F22+KOHVIK!J21</f>
        <v>104294.43000000001</v>
      </c>
      <c r="L21" s="385">
        <f>KOHVIK!J21+KOHVIK!I21</f>
        <v>106208.48</v>
      </c>
      <c r="M21" s="170"/>
      <c r="N21" s="177">
        <v>42777</v>
      </c>
      <c r="O21" s="178" t="s">
        <v>443</v>
      </c>
      <c r="P21" s="175">
        <v>2721.69</v>
      </c>
      <c r="Q21" s="175">
        <v>142.15</v>
      </c>
      <c r="R21" s="175">
        <v>957.26</v>
      </c>
      <c r="S21" s="175">
        <v>39.99</v>
      </c>
      <c r="T21" s="175"/>
      <c r="U21" s="200"/>
      <c r="V21" s="174"/>
      <c r="W21" s="175"/>
      <c r="X21" s="173"/>
      <c r="Y21" s="173"/>
      <c r="Z21" s="173"/>
      <c r="AA21" s="173"/>
      <c r="AB21" s="166"/>
    </row>
    <row r="22" spans="1:28" x14ac:dyDescent="0.3">
      <c r="A22" s="386"/>
      <c r="B22" s="203" t="s">
        <v>439</v>
      </c>
      <c r="C22" s="204">
        <v>20732.939999999999</v>
      </c>
      <c r="D22" s="204">
        <f>KOHVIK!Y8</f>
        <v>336.67</v>
      </c>
      <c r="E22" s="204">
        <f>KOHVIK!F22-KOHVIK!C22-KOHVIK!D22</f>
        <v>17806.640000000003</v>
      </c>
      <c r="F22" s="205">
        <v>38876.25</v>
      </c>
      <c r="G22" s="205"/>
      <c r="H22" s="199">
        <f>KOHVIK!F22</f>
        <v>38876.25</v>
      </c>
      <c r="I22" s="383"/>
      <c r="J22" s="387"/>
      <c r="K22" s="379"/>
      <c r="L22" s="385"/>
      <c r="M22" s="170"/>
      <c r="N22" s="177">
        <v>42784</v>
      </c>
      <c r="O22" s="178" t="s">
        <v>470</v>
      </c>
      <c r="P22" s="206">
        <v>1909.17</v>
      </c>
      <c r="Q22" s="206">
        <v>27.08</v>
      </c>
      <c r="R22" s="206">
        <v>543.16</v>
      </c>
      <c r="S22" s="206">
        <v>0.9</v>
      </c>
      <c r="T22" s="206"/>
      <c r="U22" s="173"/>
      <c r="V22" s="174"/>
      <c r="W22" s="175"/>
      <c r="X22" s="173"/>
      <c r="Y22" s="173"/>
      <c r="Z22" s="173"/>
      <c r="AA22" s="173"/>
      <c r="AB22" s="166"/>
    </row>
    <row r="23" spans="1:28" x14ac:dyDescent="0.3">
      <c r="A23" s="190" t="s">
        <v>26</v>
      </c>
      <c r="B23" s="203"/>
      <c r="C23" s="203">
        <f>C21+C22</f>
        <v>20732.939999999999</v>
      </c>
      <c r="D23" s="203">
        <f>D21+D22</f>
        <v>18745.329999999998</v>
      </c>
      <c r="E23" s="203">
        <f>E21+E22</f>
        <v>38863.08</v>
      </c>
      <c r="F23" s="203">
        <f>F21+F22</f>
        <v>78341.350000000006</v>
      </c>
      <c r="G23" s="205"/>
      <c r="H23" s="202">
        <f>KOHVIK!F23</f>
        <v>78341.350000000006</v>
      </c>
      <c r="I23" s="383"/>
      <c r="J23" s="387"/>
      <c r="K23" s="379"/>
      <c r="L23" s="385"/>
      <c r="M23" s="170"/>
      <c r="N23" s="177"/>
      <c r="O23" s="178"/>
      <c r="P23" s="206"/>
      <c r="Q23" s="206"/>
      <c r="R23" s="206"/>
      <c r="S23" s="206"/>
      <c r="T23" s="206"/>
      <c r="U23" s="173"/>
      <c r="V23" s="174"/>
      <c r="W23" s="175"/>
      <c r="X23" s="173"/>
      <c r="Y23" s="173"/>
      <c r="Z23" s="173"/>
      <c r="AA23" s="173"/>
      <c r="AB23" s="166"/>
    </row>
    <row r="24" spans="1:28" x14ac:dyDescent="0.3">
      <c r="A24" s="382" t="s">
        <v>471</v>
      </c>
      <c r="B24" s="197" t="s">
        <v>438</v>
      </c>
      <c r="C24" s="198">
        <v>0</v>
      </c>
      <c r="D24" s="198">
        <f>KOHVIK!P12</f>
        <v>3214.29</v>
      </c>
      <c r="E24" s="198">
        <f>KOHVIK!F24-KOHVIK!C24-KOHVIK!D24</f>
        <v>11851.630000000001</v>
      </c>
      <c r="F24" s="199">
        <v>15065.92</v>
      </c>
      <c r="G24" s="199"/>
      <c r="H24" s="199">
        <f>KOHVIK!F24</f>
        <v>15065.92</v>
      </c>
      <c r="I24" s="388">
        <v>33440.980000000003</v>
      </c>
      <c r="J24" s="389">
        <v>19015.25</v>
      </c>
      <c r="K24" s="379">
        <f>KOHVIK!F24+KOHVIK!F25+KOHVIK!J24</f>
        <v>52434.080000000002</v>
      </c>
      <c r="L24" s="385">
        <f>KOHVIK!J24+KOHVIK!I24</f>
        <v>52456.23</v>
      </c>
      <c r="M24" s="170"/>
      <c r="N24" s="177">
        <v>42791</v>
      </c>
      <c r="O24" s="178" t="s">
        <v>472</v>
      </c>
      <c r="P24" s="206">
        <v>3049.91</v>
      </c>
      <c r="Q24" s="206">
        <v>197</v>
      </c>
      <c r="R24" s="206">
        <v>840.53</v>
      </c>
      <c r="S24" s="206">
        <v>52.92</v>
      </c>
      <c r="T24" s="206"/>
      <c r="U24" s="173"/>
      <c r="V24" s="174"/>
      <c r="W24" s="175"/>
      <c r="X24" s="173"/>
      <c r="Y24" s="173"/>
      <c r="Z24" s="173"/>
      <c r="AA24" s="173"/>
      <c r="AB24" s="166"/>
    </row>
    <row r="25" spans="1:28" x14ac:dyDescent="0.3">
      <c r="A25" s="382"/>
      <c r="B25" s="197" t="s">
        <v>439</v>
      </c>
      <c r="C25" s="198">
        <v>10105.549999999999</v>
      </c>
      <c r="D25" s="198">
        <f>KOHVIK!Q12</f>
        <v>51.33</v>
      </c>
      <c r="E25" s="198">
        <f>KOHVIK!F25-KOHVIK!C25-KOHVIK!D25</f>
        <v>8196.0300000000007</v>
      </c>
      <c r="F25" s="199">
        <v>18352.91</v>
      </c>
      <c r="G25" s="199"/>
      <c r="H25" s="199">
        <f>KOHVIK!F25</f>
        <v>18352.91</v>
      </c>
      <c r="I25" s="388"/>
      <c r="J25" s="389"/>
      <c r="K25" s="379"/>
      <c r="L25" s="385"/>
      <c r="M25" s="170"/>
      <c r="N25" s="177">
        <v>42770</v>
      </c>
      <c r="O25" s="178" t="s">
        <v>473</v>
      </c>
      <c r="P25" s="206">
        <v>2106.33</v>
      </c>
      <c r="Q25" s="206">
        <v>53.98</v>
      </c>
      <c r="R25" s="206">
        <v>545.64</v>
      </c>
      <c r="S25" s="206">
        <v>14.73</v>
      </c>
      <c r="T25" s="206"/>
      <c r="U25" s="173"/>
      <c r="V25" s="174"/>
      <c r="W25" s="175"/>
      <c r="X25" s="173"/>
      <c r="Y25" s="173"/>
      <c r="Z25" s="173"/>
      <c r="AA25" s="173"/>
      <c r="AB25" s="166"/>
    </row>
    <row r="26" spans="1:28" x14ac:dyDescent="0.3">
      <c r="A26" s="190" t="s">
        <v>26</v>
      </c>
      <c r="B26" s="197"/>
      <c r="C26" s="197">
        <f>C24+C25</f>
        <v>10105.549999999999</v>
      </c>
      <c r="D26" s="197">
        <f>D24+D25</f>
        <v>3265.62</v>
      </c>
      <c r="E26" s="197">
        <f>E24+E25</f>
        <v>20047.660000000003</v>
      </c>
      <c r="F26" s="197">
        <f>F24+F25</f>
        <v>33418.83</v>
      </c>
      <c r="G26" s="199"/>
      <c r="H26" s="202">
        <f>KOHVIK!F26</f>
        <v>33418.83</v>
      </c>
      <c r="I26" s="388"/>
      <c r="J26" s="389"/>
      <c r="K26" s="379"/>
      <c r="L26" s="385"/>
      <c r="M26" s="170"/>
      <c r="N26" s="177"/>
      <c r="O26" s="178"/>
      <c r="P26" s="206"/>
      <c r="Q26" s="206"/>
      <c r="R26" s="206"/>
      <c r="S26" s="206"/>
      <c r="T26" s="206"/>
      <c r="U26" s="173"/>
      <c r="V26" s="174"/>
      <c r="W26" s="175"/>
      <c r="X26" s="173"/>
      <c r="Y26" s="173"/>
      <c r="Z26" s="173"/>
      <c r="AA26" s="173"/>
      <c r="AB26" s="166"/>
    </row>
    <row r="27" spans="1:28" x14ac:dyDescent="0.3">
      <c r="A27" s="386" t="s">
        <v>474</v>
      </c>
      <c r="B27" s="203" t="s">
        <v>438</v>
      </c>
      <c r="C27" s="204">
        <v>0</v>
      </c>
      <c r="D27" s="207">
        <f>KOHVIK!X18</f>
        <v>21276.3</v>
      </c>
      <c r="E27" s="204">
        <f>KOHVIK!F27-KOHVIK!C27-KOHVIK!D27</f>
        <v>28982.51</v>
      </c>
      <c r="F27" s="205">
        <v>50258.81</v>
      </c>
      <c r="G27" s="205"/>
      <c r="H27" s="199">
        <f>KOHVIK!F27</f>
        <v>50258.81</v>
      </c>
      <c r="I27" s="383">
        <v>88700.63</v>
      </c>
      <c r="J27" s="387">
        <v>49115.86</v>
      </c>
      <c r="K27" s="379">
        <f>KOHVIK!F27+KOHVIK!F28+KOHVIK!J27</f>
        <v>134629.04999999999</v>
      </c>
      <c r="L27" s="385">
        <f>KOHVIK!J27+KOHVIK!I27</f>
        <v>137816.49</v>
      </c>
      <c r="M27" s="170"/>
      <c r="N27" s="177">
        <v>42819</v>
      </c>
      <c r="O27" s="178" t="s">
        <v>441</v>
      </c>
      <c r="P27" s="206">
        <v>3817.5</v>
      </c>
      <c r="Q27" s="206">
        <v>28.75</v>
      </c>
      <c r="R27" s="206">
        <v>910.22</v>
      </c>
      <c r="S27" s="206">
        <v>2.2599999999999998</v>
      </c>
      <c r="T27" s="206"/>
      <c r="U27" s="200"/>
      <c r="V27" s="174"/>
      <c r="W27" s="175"/>
      <c r="X27" s="173"/>
      <c r="Y27" s="173"/>
      <c r="Z27" s="173"/>
      <c r="AA27" s="173"/>
      <c r="AB27" s="166"/>
    </row>
    <row r="28" spans="1:28" x14ac:dyDescent="0.3">
      <c r="A28" s="386"/>
      <c r="B28" s="203" t="s">
        <v>439</v>
      </c>
      <c r="C28" s="204">
        <v>19514.93</v>
      </c>
      <c r="D28" s="207">
        <f>KOHVIK!Y18</f>
        <v>1343.6599999999999</v>
      </c>
      <c r="E28" s="204">
        <f>KOHVIK!F28-KOHVIK!C28-KOHVIK!D28</f>
        <v>14395.789999999997</v>
      </c>
      <c r="F28" s="205">
        <v>35254.379999999997</v>
      </c>
      <c r="G28" s="205"/>
      <c r="H28" s="199">
        <f>KOHVIK!F28</f>
        <v>35254.379999999997</v>
      </c>
      <c r="I28" s="383"/>
      <c r="J28" s="387"/>
      <c r="K28" s="379"/>
      <c r="L28" s="385"/>
      <c r="M28" s="170"/>
      <c r="N28" s="170"/>
      <c r="O28" s="185" t="s">
        <v>26</v>
      </c>
      <c r="P28" s="180">
        <f>SUM(KOHVIK!P19:P27)</f>
        <v>14874.58</v>
      </c>
      <c r="Q28" s="180">
        <f>SUM(KOHVIK!Q19:Q27)</f>
        <v>521.71</v>
      </c>
      <c r="R28" s="180">
        <f>SUM(KOHVIK!R19:R27)</f>
        <v>4185.4199999999992</v>
      </c>
      <c r="S28" s="180">
        <f>SUM(KOHVIK!S19:S27)</f>
        <v>128.95000000000002</v>
      </c>
      <c r="T28" s="180"/>
      <c r="U28" s="173"/>
      <c r="V28" s="174"/>
      <c r="W28" s="175"/>
      <c r="X28" s="173"/>
      <c r="Y28" s="173"/>
      <c r="Z28" s="173"/>
      <c r="AA28" s="173"/>
      <c r="AB28" s="166"/>
    </row>
    <row r="29" spans="1:28" x14ac:dyDescent="0.3">
      <c r="A29" s="190" t="s">
        <v>26</v>
      </c>
      <c r="B29" s="203"/>
      <c r="C29" s="203">
        <f>C27+C28</f>
        <v>19514.93</v>
      </c>
      <c r="D29" s="203">
        <f>D27+D28</f>
        <v>22619.96</v>
      </c>
      <c r="E29" s="203">
        <f>E27+E28</f>
        <v>43378.299999999996</v>
      </c>
      <c r="F29" s="203">
        <f>F27+F28</f>
        <v>85513.19</v>
      </c>
      <c r="G29" s="205"/>
      <c r="H29" s="202">
        <f>KOHVIK!F29</f>
        <v>85513.19</v>
      </c>
      <c r="I29" s="383"/>
      <c r="J29" s="387"/>
      <c r="K29" s="379"/>
      <c r="L29" s="385"/>
      <c r="M29" s="170"/>
      <c r="N29" s="170"/>
      <c r="O29" s="185"/>
      <c r="P29" s="180"/>
      <c r="Q29" s="180"/>
      <c r="R29" s="180"/>
      <c r="S29" s="180"/>
      <c r="T29" s="180"/>
      <c r="U29" s="173"/>
      <c r="V29" s="174"/>
      <c r="W29" s="175"/>
      <c r="X29" s="173"/>
      <c r="Y29" s="173"/>
      <c r="Z29" s="173"/>
      <c r="AA29" s="173"/>
      <c r="AB29" s="166"/>
    </row>
    <row r="30" spans="1:28" x14ac:dyDescent="0.3">
      <c r="A30" s="390" t="s">
        <v>475</v>
      </c>
      <c r="B30" s="208" t="s">
        <v>438</v>
      </c>
      <c r="C30" s="208">
        <f>KOHVIK!C18+KOHVIK!C21+KOHVIK!C24+KOHVIK!C27</f>
        <v>0</v>
      </c>
      <c r="D30" s="208">
        <f>KOHVIK!D18+KOHVIK!D21+KOHVIK!D24+KOHVIK!D27</f>
        <v>64079.08</v>
      </c>
      <c r="E30" s="208">
        <f>KOHVIK!E18+KOHVIK!E21+KOHVIK!E24+KOHVIK!E27</f>
        <v>92335.819999999992</v>
      </c>
      <c r="F30" s="208">
        <f>KOHVIK!F18+KOHVIK!F21+KOHVIK!F24+KOHVIK!F27</f>
        <v>156414.9</v>
      </c>
      <c r="G30" s="208">
        <f>KOHVIK!G18+KOHVIK!G21+KOHVIK!G24+KOHVIK!G27</f>
        <v>0</v>
      </c>
      <c r="H30" s="208">
        <f>KOHVIK!H18+KOHVIK!H21+KOHVIK!H24+KOHVIK!H27</f>
        <v>156414.9</v>
      </c>
      <c r="I30" s="390">
        <f>SUM(KOHVIK!I18:I28)</f>
        <v>296581.96999999997</v>
      </c>
      <c r="J30" s="390">
        <f>SUM(KOHVIK!J18:J28)</f>
        <v>114325.03</v>
      </c>
      <c r="K30" s="391">
        <f>KOHVIK!K18+KOHVIK!K21+KOHVIK!K24+KOHVIK!K27</f>
        <v>408993.86</v>
      </c>
      <c r="L30" s="391">
        <f>KOHVIK!L18+KOHVIK!L21+KOHVIK!L24+KOHVIK!L27</f>
        <v>410907</v>
      </c>
      <c r="M30" s="170"/>
      <c r="N30" s="170"/>
      <c r="O30" s="171"/>
      <c r="P30" s="175"/>
      <c r="Q30" s="175"/>
      <c r="R30" s="175"/>
      <c r="S30" s="175"/>
      <c r="T30" s="175"/>
      <c r="U30" s="200"/>
      <c r="V30" s="174"/>
      <c r="W30" s="175"/>
      <c r="X30" s="173"/>
      <c r="Y30" s="173"/>
      <c r="Z30" s="173"/>
      <c r="AA30" s="173"/>
      <c r="AB30" s="166"/>
    </row>
    <row r="31" spans="1:28" x14ac:dyDescent="0.3">
      <c r="A31" s="390"/>
      <c r="B31" s="208" t="s">
        <v>439</v>
      </c>
      <c r="C31" s="208">
        <f>KOHVIK!C19+KOHVIK!C22+KOHVIK!C25+KOHVIK!C28</f>
        <v>73332.920000000013</v>
      </c>
      <c r="D31" s="208">
        <f>KOHVIK!D19+KOHVIK!D22+KOHVIK!D25+KOHVIK!D28</f>
        <v>2069.2199999999998</v>
      </c>
      <c r="E31" s="208">
        <f>KOHVIK!E19+KOHVIK!E22+KOHVIK!E25+KOHVIK!E28</f>
        <v>62851.789999999994</v>
      </c>
      <c r="F31" s="208">
        <f>KOHVIK!F19+KOHVIK!F22+KOHVIK!F25+KOHVIK!F28</f>
        <v>138253.93</v>
      </c>
      <c r="G31" s="208">
        <f>KOHVIK!G19+KOHVIK!G22+KOHVIK!G25+KOHVIK!G28</f>
        <v>0</v>
      </c>
      <c r="H31" s="208">
        <f>KOHVIK!H19+KOHVIK!H22+KOHVIK!H25+KOHVIK!H28</f>
        <v>138253.93</v>
      </c>
      <c r="I31" s="390"/>
      <c r="J31" s="390"/>
      <c r="K31" s="391"/>
      <c r="L31" s="391"/>
      <c r="M31" s="176" t="s">
        <v>476</v>
      </c>
      <c r="N31" s="170"/>
      <c r="O31" s="171"/>
      <c r="P31" s="175"/>
      <c r="Q31" s="175"/>
      <c r="R31" s="175"/>
      <c r="S31" s="175"/>
      <c r="T31" s="175"/>
      <c r="U31" s="200"/>
      <c r="V31" s="174"/>
      <c r="W31" s="175"/>
      <c r="X31" s="173"/>
      <c r="Y31" s="173"/>
      <c r="Z31" s="173"/>
      <c r="AA31" s="173"/>
      <c r="AB31" s="166"/>
    </row>
    <row r="32" spans="1:28" x14ac:dyDescent="0.3">
      <c r="A32" s="209"/>
      <c r="B32" s="209"/>
      <c r="C32" s="209"/>
      <c r="D32" s="209"/>
      <c r="E32" s="209"/>
      <c r="F32" s="209"/>
      <c r="G32" s="209"/>
      <c r="H32" s="209"/>
      <c r="I32" s="210"/>
      <c r="J32" s="209"/>
      <c r="L32" s="137"/>
      <c r="M32" s="170"/>
      <c r="N32" s="177">
        <v>42826</v>
      </c>
      <c r="O32" s="178" t="s">
        <v>443</v>
      </c>
      <c r="P32" s="175">
        <v>3061.58</v>
      </c>
      <c r="Q32" s="175">
        <v>0</v>
      </c>
      <c r="R32" s="175">
        <v>1111.79</v>
      </c>
      <c r="S32" s="175">
        <v>0</v>
      </c>
      <c r="T32" s="175"/>
      <c r="U32" s="200"/>
      <c r="V32" s="174"/>
      <c r="W32" s="175"/>
      <c r="X32" s="173"/>
      <c r="Y32" s="173"/>
      <c r="Z32" s="173"/>
      <c r="AA32" s="173"/>
      <c r="AB32" s="166"/>
    </row>
    <row r="33" spans="1:28" x14ac:dyDescent="0.3">
      <c r="A33" s="208">
        <v>2017</v>
      </c>
      <c r="B33" s="211"/>
      <c r="C33" s="211"/>
      <c r="D33" s="211"/>
      <c r="E33" s="211"/>
      <c r="F33" s="211"/>
      <c r="G33" s="211"/>
      <c r="H33" s="211"/>
      <c r="I33" s="212"/>
      <c r="J33" s="211"/>
      <c r="K33" s="189"/>
      <c r="L33" s="137"/>
      <c r="M33" s="213"/>
      <c r="N33" s="177">
        <v>42854</v>
      </c>
      <c r="O33" s="178" t="s">
        <v>443</v>
      </c>
      <c r="P33" s="175">
        <v>3242.62</v>
      </c>
      <c r="Q33" s="175">
        <v>117.33</v>
      </c>
      <c r="R33" s="175">
        <v>1216.06</v>
      </c>
      <c r="S33" s="175">
        <v>44.6</v>
      </c>
      <c r="T33" s="175"/>
      <c r="U33" s="200"/>
      <c r="V33" s="174"/>
      <c r="W33" s="175"/>
      <c r="X33" s="173"/>
      <c r="Y33" s="173"/>
      <c r="Z33" s="173"/>
      <c r="AA33" s="173"/>
      <c r="AB33" s="166"/>
    </row>
    <row r="34" spans="1:28" x14ac:dyDescent="0.3">
      <c r="A34" s="382" t="s">
        <v>466</v>
      </c>
      <c r="B34" s="197" t="s">
        <v>438</v>
      </c>
      <c r="C34" s="198">
        <v>0</v>
      </c>
      <c r="D34" s="198">
        <f>KOHVIK!P28</f>
        <v>14874.58</v>
      </c>
      <c r="E34" s="198">
        <f>KOHVIK!F34-KOHVIK!C34-KOHVIK!D34</f>
        <v>31218.509999999995</v>
      </c>
      <c r="F34" s="214">
        <v>46093.09</v>
      </c>
      <c r="G34" s="214"/>
      <c r="H34" s="214">
        <f>KOHVIK!F34</f>
        <v>46093.09</v>
      </c>
      <c r="I34" s="383">
        <v>83934.43</v>
      </c>
      <c r="J34" s="392">
        <v>10612.46</v>
      </c>
      <c r="K34" s="379">
        <f>KOHVIK!F34+KOHVIK!F35+KOHVIK!J34</f>
        <v>95486.709999999992</v>
      </c>
      <c r="L34" s="385">
        <f>KOHVIK!J34+KOHVIK!I34</f>
        <v>94546.889999999985</v>
      </c>
      <c r="M34" s="213"/>
      <c r="N34" s="177">
        <v>42881</v>
      </c>
      <c r="O34" s="178" t="s">
        <v>477</v>
      </c>
      <c r="P34" s="175">
        <v>3202</v>
      </c>
      <c r="Q34" s="175">
        <v>52.34</v>
      </c>
      <c r="R34" s="175">
        <v>1145.3599999999999</v>
      </c>
      <c r="S34" s="175">
        <v>18.66</v>
      </c>
      <c r="T34" s="175"/>
      <c r="U34" s="173"/>
      <c r="V34" s="174"/>
      <c r="W34" s="175"/>
      <c r="X34" s="173"/>
      <c r="Y34" s="173"/>
      <c r="Z34" s="173"/>
      <c r="AA34" s="173"/>
      <c r="AB34" s="166"/>
    </row>
    <row r="35" spans="1:28" x14ac:dyDescent="0.3">
      <c r="A35" s="382"/>
      <c r="B35" s="197" t="s">
        <v>439</v>
      </c>
      <c r="C35" s="198">
        <v>18361.03</v>
      </c>
      <c r="D35" s="198">
        <f>KOHVIK!Q28</f>
        <v>521.71</v>
      </c>
      <c r="E35" s="198">
        <f>KOHVIK!F35-KOHVIK!C35-KOHVIK!D35</f>
        <v>19898.420000000006</v>
      </c>
      <c r="F35" s="214">
        <v>38781.160000000003</v>
      </c>
      <c r="G35" s="214"/>
      <c r="H35" s="214">
        <f>KOHVIK!F35</f>
        <v>38781.160000000003</v>
      </c>
      <c r="I35" s="383"/>
      <c r="J35" s="392"/>
      <c r="K35" s="379"/>
      <c r="L35" s="385"/>
      <c r="M35" s="215"/>
      <c r="N35" s="170"/>
      <c r="O35" s="185" t="s">
        <v>26</v>
      </c>
      <c r="P35" s="180">
        <f>SUM(KOHVIK!P32:P34)</f>
        <v>9506.2000000000007</v>
      </c>
      <c r="Q35" s="180">
        <f>SUM(KOHVIK!Q32:Q34)</f>
        <v>169.67000000000002</v>
      </c>
      <c r="R35" s="180">
        <f>SUM(KOHVIK!R32:R34)</f>
        <v>3473.21</v>
      </c>
      <c r="S35" s="180">
        <f>SUM(KOHVIK!S32:S34)</f>
        <v>63.260000000000005</v>
      </c>
      <c r="T35" s="180"/>
      <c r="U35" s="200"/>
      <c r="V35" s="174"/>
      <c r="W35" s="175"/>
      <c r="X35" s="173"/>
      <c r="Y35" s="173"/>
      <c r="Z35" s="173"/>
      <c r="AA35" s="173"/>
      <c r="AB35" s="166"/>
    </row>
    <row r="36" spans="1:28" x14ac:dyDescent="0.3">
      <c r="A36" s="190" t="s">
        <v>26</v>
      </c>
      <c r="B36" s="197"/>
      <c r="C36" s="197">
        <f>C34+C35</f>
        <v>18361.03</v>
      </c>
      <c r="D36" s="197">
        <f>D34+D35</f>
        <v>15396.29</v>
      </c>
      <c r="E36" s="197">
        <f>E34+E35</f>
        <v>51116.93</v>
      </c>
      <c r="F36" s="197">
        <f>F34+F35</f>
        <v>84874.25</v>
      </c>
      <c r="G36" s="214"/>
      <c r="H36" s="202">
        <f>KOHVIK!F36</f>
        <v>84874.25</v>
      </c>
      <c r="I36" s="383"/>
      <c r="J36" s="392"/>
      <c r="K36" s="379"/>
      <c r="L36" s="385"/>
      <c r="M36" s="215"/>
      <c r="N36" s="170"/>
      <c r="O36" s="185"/>
      <c r="P36" s="180"/>
      <c r="Q36" s="180"/>
      <c r="R36" s="180"/>
      <c r="S36" s="180"/>
      <c r="T36" s="180"/>
      <c r="U36" s="200"/>
      <c r="V36" s="174"/>
      <c r="W36" s="175"/>
      <c r="X36" s="173"/>
      <c r="Y36" s="173"/>
      <c r="Z36" s="173"/>
      <c r="AA36" s="173"/>
      <c r="AB36" s="166"/>
    </row>
    <row r="37" spans="1:28" x14ac:dyDescent="0.3">
      <c r="A37" s="386" t="s">
        <v>469</v>
      </c>
      <c r="B37" s="203" t="s">
        <v>438</v>
      </c>
      <c r="C37" s="204">
        <v>0</v>
      </c>
      <c r="D37" s="204">
        <f>KOHVIK!P35</f>
        <v>9506.2000000000007</v>
      </c>
      <c r="E37" s="204">
        <f>KOHVIK!F37-KOHVIK!C37-KOHVIK!D37</f>
        <v>20419.14</v>
      </c>
      <c r="F37" s="205">
        <v>29925.34</v>
      </c>
      <c r="G37" s="205"/>
      <c r="H37" s="214">
        <f>KOHVIK!F37</f>
        <v>29925.34</v>
      </c>
      <c r="I37" s="388">
        <v>60633.05</v>
      </c>
      <c r="J37" s="387">
        <v>19796.41</v>
      </c>
      <c r="K37" s="379">
        <f>KOHVIK!F37+KOHVIK!F38+KOHVIK!J37</f>
        <v>78455.83</v>
      </c>
      <c r="L37" s="385">
        <f>KOHVIK!J37+KOHVIK!I37</f>
        <v>80429.460000000006</v>
      </c>
      <c r="N37" s="216" t="s">
        <v>478</v>
      </c>
      <c r="T37" s="112"/>
    </row>
    <row r="38" spans="1:28" x14ac:dyDescent="0.3">
      <c r="A38" s="386"/>
      <c r="B38" s="203" t="s">
        <v>439</v>
      </c>
      <c r="C38" s="204">
        <v>15863.82</v>
      </c>
      <c r="D38" s="204">
        <f>KOHVIK!Q35</f>
        <v>169.67000000000002</v>
      </c>
      <c r="E38" s="204">
        <f>KOHVIK!F38-KOHVIK!C38-KOHVIK!D38</f>
        <v>12700.590000000002</v>
      </c>
      <c r="F38" s="205">
        <v>28734.080000000002</v>
      </c>
      <c r="G38" s="205"/>
      <c r="H38" s="214">
        <f>KOHVIK!F38</f>
        <v>28734.080000000002</v>
      </c>
      <c r="I38" s="388"/>
      <c r="J38" s="387"/>
      <c r="K38" s="379"/>
      <c r="L38" s="385"/>
      <c r="N38" s="217">
        <v>42986</v>
      </c>
      <c r="O38" s="218" t="s">
        <v>479</v>
      </c>
      <c r="P38" s="219">
        <v>1234</v>
      </c>
      <c r="Q38" s="219">
        <v>263.08</v>
      </c>
      <c r="R38" s="219">
        <v>419.21</v>
      </c>
      <c r="S38" s="219">
        <v>63.37</v>
      </c>
      <c r="T38" s="112"/>
      <c r="U38" s="220"/>
    </row>
    <row r="39" spans="1:28" x14ac:dyDescent="0.3">
      <c r="A39" s="190" t="s">
        <v>26</v>
      </c>
      <c r="B39" s="203"/>
      <c r="C39" s="203">
        <f>C37+C38</f>
        <v>15863.82</v>
      </c>
      <c r="D39" s="203">
        <f>D37+D38</f>
        <v>9675.8700000000008</v>
      </c>
      <c r="E39" s="203">
        <f>E37+E38</f>
        <v>33119.730000000003</v>
      </c>
      <c r="F39" s="203">
        <f>F37+F38</f>
        <v>58659.42</v>
      </c>
      <c r="G39" s="205"/>
      <c r="H39" s="202">
        <f>KOHVIK!F39</f>
        <v>58659.42</v>
      </c>
      <c r="I39" s="388"/>
      <c r="J39" s="387"/>
      <c r="K39" s="379"/>
      <c r="L39" s="385"/>
      <c r="N39" s="217"/>
      <c r="O39" s="218"/>
      <c r="P39" s="219"/>
      <c r="Q39" s="219"/>
      <c r="R39" s="219"/>
      <c r="S39" s="219"/>
      <c r="T39" s="112"/>
      <c r="U39" s="220"/>
    </row>
    <row r="40" spans="1:28" x14ac:dyDescent="0.3">
      <c r="A40" s="393" t="s">
        <v>471</v>
      </c>
      <c r="B40" s="221" t="s">
        <v>438</v>
      </c>
      <c r="C40" s="222">
        <v>0</v>
      </c>
      <c r="D40" s="222">
        <f>KOHVIK!P43</f>
        <v>2768.52</v>
      </c>
      <c r="E40" s="222">
        <f>KOHVIK!F40-KOHVIK!C40-KOHVIK!D40</f>
        <v>8759.42</v>
      </c>
      <c r="F40" s="223">
        <v>11527.94</v>
      </c>
      <c r="G40" s="223">
        <v>164.53</v>
      </c>
      <c r="H40" s="223">
        <f>KOHVIK!F40+KOHVIK!G40</f>
        <v>11692.470000000001</v>
      </c>
      <c r="I40" s="394">
        <v>29461.81</v>
      </c>
      <c r="J40" s="395">
        <v>8726.73</v>
      </c>
      <c r="K40" s="396">
        <f>KOHVIK!F40+KOHVIK!F41+KOHVIK!J40</f>
        <v>38031.31</v>
      </c>
      <c r="L40" s="397">
        <f>KOHVIK!J40+KOHVIK!I40</f>
        <v>38188.54</v>
      </c>
      <c r="M40" s="224"/>
      <c r="N40" s="217">
        <v>43001</v>
      </c>
      <c r="O40" s="218" t="s">
        <v>480</v>
      </c>
      <c r="P40" s="219"/>
      <c r="Q40" s="219"/>
      <c r="R40" s="219"/>
      <c r="S40" s="219"/>
      <c r="T40" s="112"/>
      <c r="U40" s="220"/>
    </row>
    <row r="41" spans="1:28" x14ac:dyDescent="0.3">
      <c r="A41" s="393"/>
      <c r="B41" s="221" t="s">
        <v>439</v>
      </c>
      <c r="C41" s="222">
        <v>10821.02</v>
      </c>
      <c r="D41" s="222">
        <f>KOHVIK!Q43</f>
        <v>298.81</v>
      </c>
      <c r="E41" s="222">
        <f>KOHVIK!F41-KOHVIK!C41-KOHVIK!D41</f>
        <v>6656.8099999999986</v>
      </c>
      <c r="F41" s="223">
        <v>17776.64</v>
      </c>
      <c r="G41" s="223">
        <v>353.34</v>
      </c>
      <c r="H41" s="223">
        <f>KOHVIK!F41+KOHVIK!G41</f>
        <v>18129.98</v>
      </c>
      <c r="I41" s="394"/>
      <c r="J41" s="395"/>
      <c r="K41" s="396"/>
      <c r="L41" s="397"/>
      <c r="M41" s="224"/>
      <c r="N41" s="217">
        <v>43007</v>
      </c>
      <c r="O41" s="218" t="s">
        <v>481</v>
      </c>
      <c r="P41" s="219">
        <v>1534.52</v>
      </c>
      <c r="Q41" s="219">
        <v>35.729999999999997</v>
      </c>
      <c r="R41" s="219">
        <v>365.28</v>
      </c>
      <c r="S41" s="219">
        <v>11.37</v>
      </c>
      <c r="T41" s="112"/>
      <c r="U41" s="220"/>
    </row>
    <row r="42" spans="1:28" x14ac:dyDescent="0.3">
      <c r="A42" s="225" t="s">
        <v>26</v>
      </c>
      <c r="B42" s="221"/>
      <c r="C42" s="221">
        <f>C40+C41</f>
        <v>10821.02</v>
      </c>
      <c r="D42" s="221">
        <f>D40+D41</f>
        <v>3067.33</v>
      </c>
      <c r="E42" s="221">
        <f>E40+E41</f>
        <v>15416.23</v>
      </c>
      <c r="F42" s="221">
        <f>F40+F41</f>
        <v>29304.58</v>
      </c>
      <c r="G42" s="221">
        <f>G40+G41</f>
        <v>517.87</v>
      </c>
      <c r="H42" s="226">
        <f>KOHVIK!F42+KOHVIK!G42</f>
        <v>29822.45</v>
      </c>
      <c r="I42" s="394"/>
      <c r="J42" s="395"/>
      <c r="K42" s="396"/>
      <c r="L42" s="397"/>
      <c r="M42" s="224"/>
      <c r="N42" s="217"/>
      <c r="O42" s="218"/>
      <c r="P42" s="219"/>
      <c r="Q42" s="219"/>
      <c r="R42" s="219"/>
      <c r="S42" s="219"/>
      <c r="T42" s="112"/>
      <c r="U42" s="220"/>
    </row>
    <row r="43" spans="1:28" x14ac:dyDescent="0.3">
      <c r="A43" s="390" t="s">
        <v>482</v>
      </c>
      <c r="B43" s="208" t="s">
        <v>438</v>
      </c>
      <c r="C43" s="208">
        <f>KOHVIK!C34+KOHVIK!C37+KOHVIK!C40</f>
        <v>0</v>
      </c>
      <c r="D43" s="208">
        <f>KOHVIK!D34+KOHVIK!D37+KOHVIK!D40</f>
        <v>27149.3</v>
      </c>
      <c r="E43" s="208">
        <f>KOHVIK!E34+KOHVIK!E37+KOHVIK!E40</f>
        <v>60397.069999999992</v>
      </c>
      <c r="F43" s="208">
        <f>KOHVIK!F34+KOHVIK!F37+KOHVIK!F40</f>
        <v>87546.37</v>
      </c>
      <c r="G43" s="208">
        <f>KOHVIK!G34+KOHVIK!G37+KOHVIK!G40</f>
        <v>164.53</v>
      </c>
      <c r="H43" s="208">
        <f>KOHVIK!H34+KOHVIK!H37+KOHVIK!H40</f>
        <v>87710.9</v>
      </c>
      <c r="I43" s="208"/>
      <c r="J43" s="390">
        <f>KOHVIK!J34+KOHVIK!J37+KOHVIK!J40</f>
        <v>39135.599999999999</v>
      </c>
      <c r="K43" s="391">
        <f>KOHVIK!K34+KOHVIK!K37+KOHVIK!K40</f>
        <v>211973.84999999998</v>
      </c>
      <c r="L43" s="398">
        <f>KOHVIK!L34+KOHVIK!L37+KOHVIK!L40</f>
        <v>213164.88999999998</v>
      </c>
      <c r="M43" s="224"/>
      <c r="N43" s="218"/>
      <c r="O43" s="227" t="s">
        <v>26</v>
      </c>
      <c r="P43" s="228">
        <f>SUM(KOHVIK!P38:P41)</f>
        <v>2768.52</v>
      </c>
      <c r="Q43" s="228">
        <f>SUM(KOHVIK!Q38:Q41)</f>
        <v>298.81</v>
      </c>
      <c r="R43" s="228">
        <f>SUM(KOHVIK!R38:R41)</f>
        <v>784.49</v>
      </c>
      <c r="S43" s="228">
        <f>SUM(KOHVIK!S38:S41)</f>
        <v>74.739999999999995</v>
      </c>
      <c r="T43" s="112"/>
      <c r="U43" s="220"/>
    </row>
    <row r="44" spans="1:28" x14ac:dyDescent="0.3">
      <c r="A44" s="390"/>
      <c r="B44" s="208" t="s">
        <v>439</v>
      </c>
      <c r="C44" s="208">
        <f>KOHVIK!C35+KOHVIK!C38+KOHVIK!C41</f>
        <v>45045.869999999995</v>
      </c>
      <c r="D44" s="208">
        <f>KOHVIK!D35+KOHVIK!D38+KOHVIK!D41</f>
        <v>990.19</v>
      </c>
      <c r="E44" s="208">
        <f>KOHVIK!E35+KOHVIK!E38+KOHVIK!E41</f>
        <v>39255.820000000007</v>
      </c>
      <c r="F44" s="208">
        <f>KOHVIK!F35+KOHVIK!F38+KOHVIK!F41</f>
        <v>85291.88</v>
      </c>
      <c r="G44" s="208">
        <f>KOHVIK!G35+KOHVIK!G38+KOHVIK!G41</f>
        <v>353.34</v>
      </c>
      <c r="H44" s="208">
        <f>KOHVIK!H35+KOHVIK!H38+KOHVIK!H41</f>
        <v>85645.22</v>
      </c>
      <c r="I44" s="208"/>
      <c r="J44" s="390"/>
      <c r="K44" s="391"/>
      <c r="L44" s="398"/>
      <c r="M44" s="215"/>
      <c r="P44" s="112"/>
      <c r="Q44" s="112"/>
      <c r="R44" s="229"/>
      <c r="S44" s="229"/>
      <c r="T44" s="112"/>
    </row>
    <row r="45" spans="1:28" x14ac:dyDescent="0.3">
      <c r="M45" s="112"/>
      <c r="P45" s="112"/>
      <c r="Q45" s="112"/>
      <c r="R45" s="229"/>
      <c r="S45" s="229"/>
      <c r="T45" s="112"/>
    </row>
    <row r="46" spans="1:28" x14ac:dyDescent="0.3">
      <c r="M46" s="112"/>
      <c r="P46" s="112"/>
      <c r="Q46" s="112"/>
      <c r="R46" s="229"/>
      <c r="S46" s="229"/>
      <c r="T46" s="112"/>
    </row>
    <row r="47" spans="1:28" ht="15" customHeight="1" x14ac:dyDescent="0.3">
      <c r="A47" s="8" t="s">
        <v>483</v>
      </c>
      <c r="G47" s="399" t="s">
        <v>484</v>
      </c>
      <c r="H47" s="399" t="s">
        <v>485</v>
      </c>
      <c r="I47" s="399" t="s">
        <v>486</v>
      </c>
      <c r="J47" s="399" t="s">
        <v>487</v>
      </c>
      <c r="K47" s="399" t="s">
        <v>488</v>
      </c>
      <c r="L47" s="400" t="s">
        <v>489</v>
      </c>
      <c r="M47" s="401" t="s">
        <v>490</v>
      </c>
      <c r="P47" s="112"/>
      <c r="Q47" s="112"/>
      <c r="R47" s="229"/>
      <c r="S47" s="229"/>
      <c r="T47" s="112"/>
    </row>
    <row r="48" spans="1:28" ht="15" customHeight="1" x14ac:dyDescent="0.3">
      <c r="A48" t="s">
        <v>491</v>
      </c>
      <c r="B48" s="230" t="s">
        <v>492</v>
      </c>
      <c r="C48" s="231"/>
      <c r="D48" s="231" t="s">
        <v>493</v>
      </c>
      <c r="E48" s="231"/>
      <c r="F48" s="232" t="s">
        <v>482</v>
      </c>
      <c r="G48" s="399"/>
      <c r="H48" s="399"/>
      <c r="I48" s="399"/>
      <c r="J48" s="399"/>
      <c r="K48" s="399"/>
      <c r="L48" s="400"/>
      <c r="M48" s="401"/>
      <c r="Q48" s="112"/>
      <c r="R48" s="229"/>
      <c r="S48" s="229"/>
      <c r="T48" s="112"/>
    </row>
    <row r="49" spans="1:22" ht="15" customHeight="1" x14ac:dyDescent="0.3">
      <c r="A49" s="233">
        <v>2013</v>
      </c>
      <c r="B49" s="234">
        <v>18</v>
      </c>
      <c r="C49" s="234"/>
      <c r="D49" s="234"/>
      <c r="E49" s="235"/>
      <c r="F49" s="236">
        <f>SUM(KOHVIK!C49+KOHVIK!E49)</f>
        <v>0</v>
      </c>
      <c r="G49" s="237">
        <v>2844.77</v>
      </c>
      <c r="H49" s="238">
        <v>32793.300000000003</v>
      </c>
      <c r="I49" s="239">
        <v>0</v>
      </c>
      <c r="J49" s="237">
        <v>1359.54</v>
      </c>
      <c r="K49" s="237">
        <v>0</v>
      </c>
      <c r="L49" s="238">
        <v>28844.54</v>
      </c>
      <c r="M49" s="240">
        <f>KOHVIK!H49+KOHVIK!I49+KOHVIK!L49</f>
        <v>61637.840000000004</v>
      </c>
      <c r="Q49" s="112"/>
      <c r="R49" s="229"/>
      <c r="S49" s="229"/>
      <c r="T49" s="112"/>
    </row>
    <row r="50" spans="1:22" ht="15" customHeight="1" x14ac:dyDescent="0.3">
      <c r="A50" s="241">
        <v>2014</v>
      </c>
      <c r="B50" s="242">
        <v>19</v>
      </c>
      <c r="C50" s="242"/>
      <c r="D50" s="234"/>
      <c r="E50" s="243"/>
      <c r="F50" s="244">
        <f>SUM(KOHVIK!C50+KOHVIK!E50)</f>
        <v>0</v>
      </c>
      <c r="G50" s="237">
        <v>5227.71</v>
      </c>
      <c r="H50" s="238">
        <v>128665.11</v>
      </c>
      <c r="I50" s="239">
        <v>0</v>
      </c>
      <c r="J50" s="237">
        <v>1540.72</v>
      </c>
      <c r="K50" s="237">
        <v>5263.24</v>
      </c>
      <c r="L50" s="238">
        <v>121382.88</v>
      </c>
      <c r="M50" s="240">
        <f>KOHVIK!H50+KOHVIK!I50+KOHVIK!L50</f>
        <v>250047.99</v>
      </c>
      <c r="Q50" s="112"/>
      <c r="R50" s="229"/>
      <c r="S50" s="229"/>
      <c r="T50" s="112"/>
    </row>
    <row r="51" spans="1:22" ht="15" customHeight="1" x14ac:dyDescent="0.3">
      <c r="A51" s="241">
        <v>2015</v>
      </c>
      <c r="B51" s="245">
        <v>22</v>
      </c>
      <c r="C51" s="245"/>
      <c r="D51" s="234"/>
      <c r="E51" s="246"/>
      <c r="F51" s="244">
        <f>SUM(KOHVIK!C51+KOHVIK!E51)</f>
        <v>0</v>
      </c>
      <c r="G51" s="237">
        <v>2157.77</v>
      </c>
      <c r="H51" s="238">
        <v>144608.75</v>
      </c>
      <c r="I51" s="239">
        <v>0</v>
      </c>
      <c r="J51" s="237">
        <v>1042.82</v>
      </c>
      <c r="K51" s="237">
        <v>5491.81</v>
      </c>
      <c r="L51" s="238">
        <v>127079.75</v>
      </c>
      <c r="M51" s="240">
        <f>KOHVIK!H51+KOHVIK!I51+KOHVIK!L51</f>
        <v>271688.5</v>
      </c>
      <c r="Q51" s="112"/>
      <c r="R51" s="229"/>
      <c r="S51" s="229"/>
      <c r="T51" s="112"/>
    </row>
    <row r="52" spans="1:22" ht="15" customHeight="1" x14ac:dyDescent="0.3">
      <c r="G52" s="237"/>
      <c r="H52" s="238"/>
      <c r="I52" s="239"/>
      <c r="J52" s="237"/>
      <c r="K52" s="237"/>
      <c r="L52" s="238"/>
      <c r="M52" s="240"/>
      <c r="Q52" s="112"/>
      <c r="R52" s="229"/>
      <c r="S52" s="229"/>
      <c r="T52" s="112"/>
    </row>
    <row r="53" spans="1:22" x14ac:dyDescent="0.3">
      <c r="A53" s="247">
        <v>2016</v>
      </c>
      <c r="B53" s="230" t="s">
        <v>494</v>
      </c>
      <c r="C53" s="231"/>
      <c r="D53" s="231" t="s">
        <v>493</v>
      </c>
      <c r="E53" s="231"/>
      <c r="F53" s="232" t="s">
        <v>482</v>
      </c>
      <c r="G53" s="237"/>
      <c r="H53" s="238"/>
      <c r="I53" s="239"/>
      <c r="J53" s="237"/>
      <c r="K53" s="237"/>
      <c r="L53" s="238"/>
      <c r="M53" s="240"/>
    </row>
    <row r="54" spans="1:22" x14ac:dyDescent="0.3">
      <c r="A54" s="248" t="s">
        <v>466</v>
      </c>
      <c r="B54" s="234">
        <v>20</v>
      </c>
      <c r="C54" s="234">
        <v>64102.7</v>
      </c>
      <c r="D54" s="234">
        <v>16</v>
      </c>
      <c r="E54" s="235">
        <v>2771.17</v>
      </c>
      <c r="F54" s="236">
        <f>SUM(KOHVIK!C54+KOHVIK!E54)</f>
        <v>66873.87</v>
      </c>
      <c r="G54" s="249">
        <v>1200.4100000000001</v>
      </c>
      <c r="H54" s="250">
        <v>36007.06</v>
      </c>
      <c r="I54" s="251">
        <v>0</v>
      </c>
      <c r="J54" s="249">
        <v>90.91</v>
      </c>
      <c r="K54" s="249">
        <v>2041.91</v>
      </c>
      <c r="L54" s="250">
        <v>30866.81</v>
      </c>
      <c r="M54" s="252">
        <f>KOHVIK!H54+KOHVIK!I54+KOHVIK!L54</f>
        <v>66873.87</v>
      </c>
      <c r="Q54" s="253"/>
      <c r="R54" s="254"/>
      <c r="S54" s="254"/>
      <c r="T54" s="253"/>
    </row>
    <row r="55" spans="1:22" x14ac:dyDescent="0.3">
      <c r="A55" s="242" t="s">
        <v>469</v>
      </c>
      <c r="B55" s="242">
        <v>22</v>
      </c>
      <c r="C55" s="242">
        <v>69277.789999999994</v>
      </c>
      <c r="D55" s="234">
        <v>5</v>
      </c>
      <c r="E55" s="243">
        <v>672.21</v>
      </c>
      <c r="F55" s="244">
        <f>SUM(KOHVIK!C55+KOHVIK!E55)</f>
        <v>69950</v>
      </c>
      <c r="G55" s="249">
        <v>286.89999999999998</v>
      </c>
      <c r="H55" s="250">
        <v>37330.33</v>
      </c>
      <c r="I55" s="251">
        <v>0</v>
      </c>
      <c r="J55" s="249">
        <v>250.12</v>
      </c>
      <c r="K55" s="249">
        <v>1850</v>
      </c>
      <c r="L55" s="250">
        <v>32619.67</v>
      </c>
      <c r="M55" s="252">
        <f>KOHVIK!H55+KOHVIK!I55+KOHVIK!L55</f>
        <v>69950</v>
      </c>
      <c r="Q55" s="255"/>
      <c r="R55" s="256"/>
      <c r="S55" s="256"/>
      <c r="T55" s="255"/>
      <c r="U55" s="1"/>
      <c r="V55" s="2"/>
    </row>
    <row r="56" spans="1:22" x14ac:dyDescent="0.3">
      <c r="A56" s="242" t="s">
        <v>471</v>
      </c>
      <c r="B56" s="257">
        <v>17</v>
      </c>
      <c r="C56" s="257">
        <v>50179.21</v>
      </c>
      <c r="D56" s="234">
        <v>7</v>
      </c>
      <c r="E56" s="258">
        <v>627.35</v>
      </c>
      <c r="F56" s="244">
        <f>SUM(KOHVIK!C56+KOHVIK!E56)</f>
        <v>50806.559999999998</v>
      </c>
      <c r="G56" s="249">
        <v>253.58</v>
      </c>
      <c r="H56" s="250">
        <v>23654.27</v>
      </c>
      <c r="I56" s="251">
        <v>5584.19</v>
      </c>
      <c r="J56" s="249">
        <v>241.41</v>
      </c>
      <c r="K56" s="249">
        <v>586.29999999999995</v>
      </c>
      <c r="L56" s="250">
        <v>27152.29</v>
      </c>
      <c r="M56" s="252">
        <f>KOHVIK!H56+KOHVIK!I56+KOHVIK!L56</f>
        <v>56390.75</v>
      </c>
      <c r="Q56" s="255"/>
      <c r="R56" s="256"/>
      <c r="S56" s="256"/>
      <c r="T56" s="255"/>
      <c r="U56" s="1"/>
      <c r="V56" s="2"/>
    </row>
    <row r="57" spans="1:22" x14ac:dyDescent="0.3">
      <c r="A57" s="242" t="s">
        <v>474</v>
      </c>
      <c r="B57" s="242">
        <v>21</v>
      </c>
      <c r="C57" s="242">
        <v>59912.28</v>
      </c>
      <c r="D57" s="234">
        <v>13</v>
      </c>
      <c r="E57" s="243">
        <v>4111.33</v>
      </c>
      <c r="F57" s="244">
        <f>SUM(KOHVIK!C57+KOHVIK!E57)</f>
        <v>64023.61</v>
      </c>
      <c r="G57" s="249">
        <v>1826.32</v>
      </c>
      <c r="H57" s="250">
        <v>29348.93</v>
      </c>
      <c r="I57" s="251">
        <v>5816.16</v>
      </c>
      <c r="J57" s="249">
        <v>1124.72</v>
      </c>
      <c r="K57" s="249">
        <v>2507.35</v>
      </c>
      <c r="L57" s="250">
        <v>34674.68</v>
      </c>
      <c r="M57" s="252">
        <f>KOHVIK!H57+KOHVIK!I57+KOHVIK!L57</f>
        <v>69839.76999999999</v>
      </c>
      <c r="Q57" s="255"/>
      <c r="R57" s="256"/>
      <c r="S57" s="256"/>
      <c r="T57" s="255"/>
      <c r="U57" s="1"/>
      <c r="V57" s="2"/>
    </row>
    <row r="58" spans="1:22" x14ac:dyDescent="0.3">
      <c r="A58" s="259" t="s">
        <v>482</v>
      </c>
      <c r="B58" s="260"/>
      <c r="C58" s="261">
        <f>SUM(KOHVIK!C54:C57)</f>
        <v>243471.97999999998</v>
      </c>
      <c r="D58" s="261"/>
      <c r="E58" s="262">
        <f>SUM(KOHVIK!E54:E57)</f>
        <v>8182.0599999999995</v>
      </c>
      <c r="F58" s="262">
        <f>SUM(KOHVIK!F54:F57)</f>
        <v>251654.03999999998</v>
      </c>
      <c r="G58" s="240">
        <f>SUM(KOHVIK!G54:G57)</f>
        <v>3567.21</v>
      </c>
      <c r="H58" s="263">
        <f>SUM(KOHVIK!H54:H57)</f>
        <v>126340.59</v>
      </c>
      <c r="I58" s="264">
        <f>SUM(KOHVIK!I54:I57)</f>
        <v>11400.349999999999</v>
      </c>
      <c r="J58" s="240">
        <f>SUM(KOHVIK!J54:J57)</f>
        <v>1707.1599999999999</v>
      </c>
      <c r="K58" s="240">
        <f>SUM(KOHVIK!K54:K57)</f>
        <v>6985.5599999999995</v>
      </c>
      <c r="L58" s="263">
        <f>SUM(KOHVIK!L54:L57)</f>
        <v>125313.44999999998</v>
      </c>
      <c r="M58" s="240">
        <f>SUM(KOHVIK!M54:M57)</f>
        <v>263054.39</v>
      </c>
      <c r="Q58" s="255"/>
      <c r="R58" s="256"/>
      <c r="S58" s="256"/>
      <c r="T58" s="255"/>
      <c r="U58" s="1"/>
      <c r="V58" s="2"/>
    </row>
    <row r="59" spans="1:22" x14ac:dyDescent="0.3">
      <c r="G59" s="249"/>
      <c r="H59" s="250"/>
      <c r="I59" s="251"/>
      <c r="J59" s="249"/>
      <c r="K59" s="249"/>
      <c r="L59" s="250"/>
      <c r="M59" s="252"/>
      <c r="Q59" s="265"/>
      <c r="R59" s="256"/>
      <c r="S59" s="256"/>
      <c r="T59" s="255"/>
      <c r="U59" s="220"/>
      <c r="V59" s="2"/>
    </row>
    <row r="60" spans="1:22" x14ac:dyDescent="0.3">
      <c r="G60" s="249"/>
      <c r="H60" s="250"/>
      <c r="I60" s="251"/>
      <c r="J60" s="249"/>
      <c r="K60" s="249"/>
      <c r="L60" s="250"/>
      <c r="M60" s="252"/>
      <c r="Q60" s="1"/>
      <c r="R60" s="168"/>
      <c r="S60" s="168"/>
      <c r="T60" s="1"/>
      <c r="U60" s="220"/>
      <c r="V60" s="2"/>
    </row>
    <row r="61" spans="1:22" x14ac:dyDescent="0.3">
      <c r="A61" s="247">
        <v>2017</v>
      </c>
      <c r="B61" s="230" t="s">
        <v>494</v>
      </c>
      <c r="C61" s="231"/>
      <c r="D61" s="231" t="s">
        <v>493</v>
      </c>
      <c r="E61" s="231"/>
      <c r="F61" s="266" t="s">
        <v>482</v>
      </c>
      <c r="G61" s="249"/>
      <c r="H61" s="250"/>
      <c r="I61" s="251"/>
      <c r="J61" s="249"/>
      <c r="K61" s="249"/>
      <c r="L61" s="250"/>
      <c r="M61" s="252"/>
      <c r="Q61" s="1"/>
      <c r="R61" s="168"/>
      <c r="S61" s="168"/>
      <c r="T61" s="1"/>
      <c r="U61" s="220"/>
      <c r="V61" s="2"/>
    </row>
    <row r="62" spans="1:22" x14ac:dyDescent="0.3">
      <c r="A62" s="248" t="s">
        <v>466</v>
      </c>
      <c r="B62" s="234">
        <v>20</v>
      </c>
      <c r="C62" s="234">
        <v>57623.55</v>
      </c>
      <c r="D62" s="234">
        <v>11</v>
      </c>
      <c r="E62" s="235">
        <v>3490.24</v>
      </c>
      <c r="F62" s="236">
        <f>SUM(KOHVIK!C62+KOHVIK!E62)</f>
        <v>61113.79</v>
      </c>
      <c r="G62" s="249">
        <v>496.77</v>
      </c>
      <c r="H62" s="250">
        <v>29369.42</v>
      </c>
      <c r="I62" s="251">
        <v>5645.02</v>
      </c>
      <c r="J62" s="249">
        <v>1220.33</v>
      </c>
      <c r="K62" s="249">
        <v>1821.99</v>
      </c>
      <c r="L62" s="250">
        <v>31744.37</v>
      </c>
      <c r="M62" s="252">
        <f>KOHVIK!H62+KOHVIK!I62+KOHVIK!L62</f>
        <v>66758.81</v>
      </c>
      <c r="Q62" s="1"/>
      <c r="R62" s="168"/>
      <c r="S62" s="168"/>
      <c r="T62" s="1"/>
      <c r="U62" s="220"/>
      <c r="V62" s="2"/>
    </row>
    <row r="63" spans="1:22" x14ac:dyDescent="0.3">
      <c r="A63" s="242" t="s">
        <v>469</v>
      </c>
      <c r="B63" s="242">
        <v>18</v>
      </c>
      <c r="C63" s="242">
        <v>54461.25</v>
      </c>
      <c r="D63" s="234">
        <v>10</v>
      </c>
      <c r="E63" s="243">
        <v>2951.16</v>
      </c>
      <c r="F63" s="244">
        <f>SUM(KOHVIK!C63+KOHVIK!E63)</f>
        <v>57412.41</v>
      </c>
      <c r="G63" s="249">
        <v>269.06</v>
      </c>
      <c r="H63" s="250">
        <v>29061.15</v>
      </c>
      <c r="I63" s="251">
        <v>5285.12</v>
      </c>
      <c r="J63" s="249">
        <v>372.79</v>
      </c>
      <c r="K63" s="249">
        <v>1320.36</v>
      </c>
      <c r="L63" s="250">
        <v>28351.26</v>
      </c>
      <c r="M63" s="252">
        <f>KOHVIK!H63+KOHVIK!I63+KOHVIK!L63</f>
        <v>62697.53</v>
      </c>
      <c r="Q63" s="1"/>
      <c r="R63" s="168"/>
      <c r="S63" s="168"/>
      <c r="T63" s="1"/>
      <c r="U63" s="1"/>
      <c r="V63" s="2"/>
    </row>
    <row r="64" spans="1:22" x14ac:dyDescent="0.3">
      <c r="A64" s="267" t="s">
        <v>471</v>
      </c>
      <c r="B64" s="267">
        <v>17</v>
      </c>
      <c r="C64" s="267">
        <v>42710.77</v>
      </c>
      <c r="D64" s="268">
        <v>6</v>
      </c>
      <c r="E64" s="269">
        <v>1469.02</v>
      </c>
      <c r="F64" s="270">
        <f>SUM(KOHVIK!C64+KOHVIK!E64)</f>
        <v>44179.789999999994</v>
      </c>
      <c r="G64" s="271">
        <v>0</v>
      </c>
      <c r="H64" s="223">
        <v>24307.94</v>
      </c>
      <c r="I64" s="272">
        <v>1621.02</v>
      </c>
      <c r="J64" s="271">
        <v>97.87</v>
      </c>
      <c r="K64" s="271">
        <v>417.75</v>
      </c>
      <c r="L64" s="223">
        <v>19871.849999999999</v>
      </c>
      <c r="M64" s="273">
        <f>KOHVIK!H64+KOHVIK!I64+KOHVIK!L64</f>
        <v>45800.81</v>
      </c>
      <c r="Q64" s="1"/>
      <c r="R64" s="168"/>
      <c r="S64" s="168"/>
      <c r="T64" s="1"/>
      <c r="U64" s="1"/>
      <c r="V64" s="2"/>
    </row>
    <row r="65" spans="1:22" x14ac:dyDescent="0.3">
      <c r="A65" s="241" t="s">
        <v>482</v>
      </c>
      <c r="B65" s="274"/>
      <c r="C65" s="241">
        <f>SUM(KOHVIK!C62:C64)</f>
        <v>154795.57</v>
      </c>
      <c r="D65" s="242"/>
      <c r="E65" s="244">
        <f>SUM(KOHVIK!E62:E64)</f>
        <v>7910.42</v>
      </c>
      <c r="F65" s="244">
        <f>SUM(KOHVIK!F62:F64)</f>
        <v>162705.99</v>
      </c>
      <c r="G65" s="275">
        <f>SUM(KOHVIK!G62:G64)</f>
        <v>765.82999999999993</v>
      </c>
      <c r="H65" s="275">
        <f>SUM(KOHVIK!H62:H64)</f>
        <v>82738.509999999995</v>
      </c>
      <c r="I65" s="275">
        <f>SUM(KOHVIK!I62:I64)</f>
        <v>12551.16</v>
      </c>
      <c r="J65" s="275">
        <f>SUM(KOHVIK!J62:J64)</f>
        <v>1690.9899999999998</v>
      </c>
      <c r="K65" s="275">
        <f>SUM(KOHVIK!K62:K64)</f>
        <v>3560.1</v>
      </c>
      <c r="L65" s="276">
        <f>SUM(KOHVIK!L62:L64)</f>
        <v>79967.48</v>
      </c>
      <c r="M65" s="277">
        <f>SUM(KOHVIK!M62:M64)</f>
        <v>175257.15</v>
      </c>
      <c r="Q65" s="1"/>
      <c r="R65" s="168"/>
      <c r="S65" s="168"/>
      <c r="T65" s="1"/>
      <c r="U65" s="1"/>
      <c r="V65" s="2"/>
    </row>
    <row r="66" spans="1:22" x14ac:dyDescent="0.3">
      <c r="P66" s="187"/>
      <c r="Q66" s="1"/>
      <c r="R66" s="168"/>
      <c r="S66" s="168"/>
      <c r="T66" s="1"/>
      <c r="U66" s="1"/>
      <c r="V66" s="2"/>
    </row>
    <row r="67" spans="1:22" x14ac:dyDescent="0.3">
      <c r="A67" t="s">
        <v>495</v>
      </c>
      <c r="Q67" s="1"/>
      <c r="R67" s="168"/>
      <c r="S67" s="168"/>
      <c r="T67" s="1"/>
      <c r="U67" s="220"/>
      <c r="V67" s="2"/>
    </row>
    <row r="68" spans="1:22" x14ac:dyDescent="0.3">
      <c r="A68" t="s">
        <v>496</v>
      </c>
      <c r="Q68" s="1"/>
      <c r="R68" s="168"/>
      <c r="S68" s="168"/>
      <c r="T68" s="1"/>
      <c r="U68" s="1"/>
      <c r="V68" s="2"/>
    </row>
    <row r="69" spans="1:22" x14ac:dyDescent="0.3">
      <c r="Q69" s="1"/>
      <c r="R69" s="168"/>
      <c r="S69" s="168"/>
      <c r="T69" s="1"/>
      <c r="U69" s="1"/>
      <c r="V69" s="2"/>
    </row>
    <row r="70" spans="1:22" x14ac:dyDescent="0.3">
      <c r="Q70" s="1"/>
      <c r="R70" s="168"/>
      <c r="S70" s="168"/>
      <c r="T70" s="1"/>
      <c r="U70" s="1"/>
      <c r="V70" s="2"/>
    </row>
    <row r="71" spans="1:22" x14ac:dyDescent="0.3">
      <c r="A71" t="s">
        <v>497</v>
      </c>
      <c r="D71" s="278" t="s">
        <v>498</v>
      </c>
      <c r="E71" s="81"/>
      <c r="Q71" s="1"/>
      <c r="R71" s="168"/>
      <c r="S71" s="168"/>
      <c r="T71" s="1"/>
      <c r="U71" s="1"/>
      <c r="V71" s="2"/>
    </row>
    <row r="72" spans="1:22" x14ac:dyDescent="0.3">
      <c r="A72" s="190">
        <v>2016</v>
      </c>
      <c r="B72" s="402" t="s">
        <v>499</v>
      </c>
      <c r="C72" s="402"/>
      <c r="D72" s="279" t="s">
        <v>500</v>
      </c>
      <c r="E72" s="280" t="s">
        <v>501</v>
      </c>
      <c r="Q72" s="1"/>
      <c r="R72" s="168"/>
      <c r="S72" s="168"/>
      <c r="T72" s="1"/>
      <c r="U72" s="1"/>
      <c r="V72" s="2"/>
    </row>
    <row r="73" spans="1:22" x14ac:dyDescent="0.3">
      <c r="A73" s="382" t="s">
        <v>466</v>
      </c>
      <c r="B73" s="198" t="s">
        <v>438</v>
      </c>
      <c r="C73" s="281">
        <v>23064.55</v>
      </c>
      <c r="D73" s="282">
        <v>16711.54</v>
      </c>
      <c r="E73" s="403">
        <f>KOHVIK!D73+KOHVIK!D74</f>
        <v>45601.37</v>
      </c>
    </row>
    <row r="74" spans="1:22" x14ac:dyDescent="0.3">
      <c r="A74" s="382"/>
      <c r="B74" s="198" t="s">
        <v>439</v>
      </c>
      <c r="C74" s="281">
        <v>27464.17</v>
      </c>
      <c r="D74" s="282">
        <v>28889.83</v>
      </c>
      <c r="E74" s="403"/>
    </row>
    <row r="75" spans="1:22" x14ac:dyDescent="0.3">
      <c r="A75" s="386" t="s">
        <v>469</v>
      </c>
      <c r="B75" s="204" t="s">
        <v>438</v>
      </c>
      <c r="C75" s="281">
        <v>12966.86</v>
      </c>
      <c r="D75" s="283">
        <v>15018.75</v>
      </c>
      <c r="E75" s="403">
        <f>KOHVIK!D75+KOHVIK!D76</f>
        <v>40803.89</v>
      </c>
    </row>
    <row r="76" spans="1:22" x14ac:dyDescent="0.3">
      <c r="A76" s="386"/>
      <c r="B76" s="204" t="s">
        <v>439</v>
      </c>
      <c r="C76" s="281">
        <v>23303.74</v>
      </c>
      <c r="D76" s="283">
        <v>25785.14</v>
      </c>
      <c r="E76" s="403"/>
    </row>
    <row r="77" spans="1:22" x14ac:dyDescent="0.3">
      <c r="A77" s="382" t="s">
        <v>471</v>
      </c>
      <c r="B77" s="198" t="s">
        <v>438</v>
      </c>
      <c r="C77" s="281">
        <v>9741.86</v>
      </c>
      <c r="D77" s="282">
        <v>9267.26</v>
      </c>
      <c r="E77" s="403">
        <f>KOHVIK!D77+KOHVIK!D78</f>
        <v>21983.4</v>
      </c>
    </row>
    <row r="78" spans="1:22" x14ac:dyDescent="0.3">
      <c r="A78" s="382"/>
      <c r="B78" s="198" t="s">
        <v>439</v>
      </c>
      <c r="C78" s="281">
        <v>12323.04</v>
      </c>
      <c r="D78" s="282">
        <v>12716.14</v>
      </c>
      <c r="E78" s="403"/>
    </row>
    <row r="79" spans="1:22" x14ac:dyDescent="0.3">
      <c r="A79" s="386" t="s">
        <v>474</v>
      </c>
      <c r="B79" s="204" t="s">
        <v>438</v>
      </c>
      <c r="C79" s="281">
        <v>23792.46</v>
      </c>
      <c r="D79" s="283">
        <v>26826.37</v>
      </c>
      <c r="E79" s="403">
        <f>KOHVIK!D79+KOHVIK!D80</f>
        <v>51409.149999999994</v>
      </c>
    </row>
    <row r="80" spans="1:22" x14ac:dyDescent="0.3">
      <c r="A80" s="386"/>
      <c r="B80" s="204" t="s">
        <v>439</v>
      </c>
      <c r="C80" s="281">
        <v>26255.54</v>
      </c>
      <c r="D80" s="283">
        <v>24582.78</v>
      </c>
      <c r="E80" s="403"/>
    </row>
    <row r="81" spans="1:10" x14ac:dyDescent="0.3">
      <c r="A81" s="390" t="s">
        <v>482</v>
      </c>
      <c r="B81" s="208" t="s">
        <v>438</v>
      </c>
      <c r="C81" s="284">
        <f>KOHVIK!C73+KOHVIK!C75+KOHVIK!C77+KOHVIK!C79</f>
        <v>69565.73000000001</v>
      </c>
      <c r="D81" s="285">
        <f>KOHVIK!D73+KOHVIK!D75+KOHVIK!D77+KOHVIK!D79</f>
        <v>67823.92</v>
      </c>
      <c r="E81" s="403">
        <f>KOHVIK!C81+KOHVIK!C82</f>
        <v>158912.22000000003</v>
      </c>
      <c r="F81" s="137">
        <f>KOHVIK!E73+KOHVIK!E75+KOHVIK!E77+KOHVIK!E79</f>
        <v>159797.81</v>
      </c>
    </row>
    <row r="82" spans="1:10" x14ac:dyDescent="0.3">
      <c r="A82" s="390"/>
      <c r="B82" s="208" t="s">
        <v>439</v>
      </c>
      <c r="C82" s="284">
        <f>KOHVIK!C74+KOHVIK!C76+KOHVIK!C78+KOHVIK!C80</f>
        <v>89346.49</v>
      </c>
      <c r="D82" s="285">
        <f>KOHVIK!D74+KOHVIK!D76+KOHVIK!D78+KOHVIK!D80</f>
        <v>91973.89</v>
      </c>
      <c r="E82" s="403"/>
      <c r="F82" s="137"/>
    </row>
    <row r="83" spans="1:10" x14ac:dyDescent="0.3">
      <c r="A83" s="209"/>
      <c r="B83" s="209"/>
      <c r="C83" s="286"/>
      <c r="D83" s="287"/>
      <c r="E83" s="288"/>
      <c r="F83" s="137"/>
    </row>
    <row r="84" spans="1:10" x14ac:dyDescent="0.3">
      <c r="A84" s="208">
        <v>2017</v>
      </c>
      <c r="B84" s="211"/>
      <c r="C84" s="286"/>
      <c r="D84" s="289"/>
      <c r="E84" s="290"/>
      <c r="F84" s="137"/>
    </row>
    <row r="85" spans="1:10" x14ac:dyDescent="0.3">
      <c r="A85" s="382" t="s">
        <v>466</v>
      </c>
      <c r="B85" s="197" t="s">
        <v>438</v>
      </c>
      <c r="C85" s="281">
        <v>18145.14</v>
      </c>
      <c r="D85" s="282">
        <v>17265.509999999998</v>
      </c>
      <c r="E85" s="403">
        <f>KOHVIK!D85+KOHVIK!D86</f>
        <v>40449.289999999994</v>
      </c>
      <c r="F85" s="137"/>
    </row>
    <row r="86" spans="1:10" x14ac:dyDescent="0.3">
      <c r="A86" s="382"/>
      <c r="B86" s="197" t="s">
        <v>439</v>
      </c>
      <c r="C86" s="281">
        <v>23780.27</v>
      </c>
      <c r="D86" s="282">
        <v>23183.78</v>
      </c>
      <c r="E86" s="403"/>
      <c r="F86" s="137"/>
    </row>
    <row r="87" spans="1:10" x14ac:dyDescent="0.3">
      <c r="A87" s="386" t="s">
        <v>469</v>
      </c>
      <c r="B87" s="203" t="s">
        <v>438</v>
      </c>
      <c r="C87" s="281">
        <v>9691.4699999999993</v>
      </c>
      <c r="D87" s="283">
        <v>13706.42</v>
      </c>
      <c r="E87" s="403">
        <f>KOHVIK!D87+KOHVIK!D88</f>
        <v>34987.019999999997</v>
      </c>
      <c r="F87" s="137"/>
    </row>
    <row r="88" spans="1:10" x14ac:dyDescent="0.3">
      <c r="A88" s="386"/>
      <c r="B88" s="203" t="s">
        <v>439</v>
      </c>
      <c r="C88" s="281">
        <v>18947.580000000002</v>
      </c>
      <c r="D88" s="283">
        <v>21280.6</v>
      </c>
      <c r="E88" s="403"/>
      <c r="F88" s="137"/>
    </row>
    <row r="89" spans="1:10" x14ac:dyDescent="0.3">
      <c r="A89" s="393" t="s">
        <v>471</v>
      </c>
      <c r="B89" s="221" t="s">
        <v>438</v>
      </c>
      <c r="C89" s="272">
        <v>5086.63</v>
      </c>
      <c r="D89" s="222">
        <v>4920.5</v>
      </c>
      <c r="E89" s="291">
        <f>KOHVIK!D89+KOHVIK!D90</f>
        <v>10535.07</v>
      </c>
      <c r="F89" s="137"/>
    </row>
    <row r="90" spans="1:10" x14ac:dyDescent="0.3">
      <c r="A90" s="393"/>
      <c r="B90" s="221" t="s">
        <v>439</v>
      </c>
      <c r="C90" s="272">
        <v>11142.69</v>
      </c>
      <c r="D90" s="222">
        <v>5614.57</v>
      </c>
      <c r="E90" s="292"/>
      <c r="F90" s="137"/>
    </row>
    <row r="91" spans="1:10" x14ac:dyDescent="0.3">
      <c r="A91" s="390" t="s">
        <v>482</v>
      </c>
      <c r="B91" s="208" t="s">
        <v>438</v>
      </c>
      <c r="C91" s="284">
        <f>KOHVIK!C85+KOHVIK!C87+KOHVIK!C89</f>
        <v>32923.24</v>
      </c>
      <c r="D91" s="285">
        <f>KOHVIK!D85+KOHVIK!D87+KOHVIK!D89</f>
        <v>35892.43</v>
      </c>
      <c r="E91" s="403">
        <f>KOHVIK!D91+KOHVIK!D92</f>
        <v>85971.38</v>
      </c>
      <c r="F91" s="137">
        <f>KOHVIK!E85+KOHVIK!E87+KOHVIK!E89</f>
        <v>85971.38</v>
      </c>
    </row>
    <row r="92" spans="1:10" x14ac:dyDescent="0.3">
      <c r="A92" s="390"/>
      <c r="B92" s="208" t="s">
        <v>439</v>
      </c>
      <c r="C92" s="284">
        <f>KOHVIK!C86+KOHVIK!C88+KOHVIK!C90</f>
        <v>53870.540000000008</v>
      </c>
      <c r="D92" s="285">
        <f>KOHVIK!D86+KOHVIK!D88+KOHVIK!D90</f>
        <v>50078.95</v>
      </c>
      <c r="E92" s="403"/>
      <c r="F92" s="144"/>
      <c r="G92" s="144"/>
      <c r="H92" s="144"/>
      <c r="I92" s="144"/>
      <c r="J92" s="144"/>
    </row>
    <row r="93" spans="1:10" x14ac:dyDescent="0.3">
      <c r="D93" s="278"/>
      <c r="E93" s="8"/>
      <c r="J93" s="293"/>
    </row>
    <row r="94" spans="1:10" x14ac:dyDescent="0.3">
      <c r="B94" t="s">
        <v>502</v>
      </c>
      <c r="C94" t="s">
        <v>503</v>
      </c>
      <c r="E94" s="8"/>
    </row>
    <row r="95" spans="1:10" x14ac:dyDescent="0.3">
      <c r="A95" s="247">
        <v>2016</v>
      </c>
      <c r="B95" s="294" t="s">
        <v>504</v>
      </c>
      <c r="C95" s="295" t="s">
        <v>505</v>
      </c>
      <c r="J95" s="296"/>
    </row>
    <row r="96" spans="1:10" x14ac:dyDescent="0.3">
      <c r="A96" s="248" t="s">
        <v>466</v>
      </c>
      <c r="B96" s="234">
        <v>1058.97</v>
      </c>
      <c r="C96" s="234">
        <v>7272.13</v>
      </c>
      <c r="J96" s="296"/>
    </row>
    <row r="97" spans="1:10" x14ac:dyDescent="0.3">
      <c r="A97" s="242" t="s">
        <v>469</v>
      </c>
      <c r="B97" s="242">
        <v>1546.33</v>
      </c>
      <c r="C97" s="242">
        <v>6798.6</v>
      </c>
      <c r="J97" s="296"/>
    </row>
    <row r="98" spans="1:10" x14ac:dyDescent="0.3">
      <c r="A98" s="242" t="s">
        <v>471</v>
      </c>
      <c r="B98" s="257">
        <v>387.88</v>
      </c>
      <c r="C98" s="257">
        <v>3654.04</v>
      </c>
      <c r="F98" s="8"/>
      <c r="G98" s="8"/>
      <c r="H98" s="8"/>
      <c r="I98" s="8"/>
      <c r="J98" s="293"/>
    </row>
    <row r="99" spans="1:10" x14ac:dyDescent="0.3">
      <c r="A99" s="242" t="s">
        <v>474</v>
      </c>
      <c r="B99" s="242">
        <v>1166.4100000000001</v>
      </c>
      <c r="C99" s="242">
        <v>6497.96</v>
      </c>
      <c r="F99" s="8"/>
      <c r="G99" s="8"/>
      <c r="H99" s="8"/>
      <c r="I99" s="8"/>
      <c r="J99" s="293"/>
    </row>
    <row r="100" spans="1:10" x14ac:dyDescent="0.3">
      <c r="A100" s="297" t="s">
        <v>482</v>
      </c>
      <c r="B100" s="297">
        <f>SUM(KOHVIK!B96:B99)</f>
        <v>4159.59</v>
      </c>
      <c r="C100" s="297">
        <f>SUM(KOHVIK!C96:C99)</f>
        <v>24222.73</v>
      </c>
      <c r="E100" s="8"/>
      <c r="J100" s="296"/>
    </row>
    <row r="101" spans="1:10" x14ac:dyDescent="0.3">
      <c r="A101" s="259"/>
      <c r="B101" s="298"/>
      <c r="C101" s="298"/>
      <c r="E101" s="8"/>
      <c r="J101" s="296"/>
    </row>
    <row r="102" spans="1:10" x14ac:dyDescent="0.3">
      <c r="A102" s="247">
        <v>2017</v>
      </c>
      <c r="B102" s="230"/>
      <c r="C102" s="230"/>
      <c r="E102" s="30"/>
      <c r="F102" s="8"/>
      <c r="G102" s="8"/>
      <c r="H102" s="8"/>
      <c r="I102" s="8"/>
      <c r="J102" s="293"/>
    </row>
    <row r="103" spans="1:10" x14ac:dyDescent="0.3">
      <c r="A103" s="248" t="s">
        <v>466</v>
      </c>
      <c r="B103" s="234">
        <v>796.76</v>
      </c>
      <c r="C103" s="234">
        <v>7116.24</v>
      </c>
    </row>
    <row r="104" spans="1:10" x14ac:dyDescent="0.3">
      <c r="A104" s="242" t="s">
        <v>469</v>
      </c>
      <c r="B104" s="242">
        <v>955.38</v>
      </c>
      <c r="C104" s="242">
        <v>4974.47</v>
      </c>
      <c r="E104" s="8"/>
      <c r="J104" s="296"/>
    </row>
    <row r="105" spans="1:10" x14ac:dyDescent="0.3">
      <c r="A105" s="267" t="s">
        <v>471</v>
      </c>
      <c r="B105" s="267">
        <v>536.02499999999998</v>
      </c>
      <c r="C105" s="267">
        <v>3534.36</v>
      </c>
      <c r="E105" s="8"/>
      <c r="J105" s="296"/>
    </row>
    <row r="106" spans="1:10" x14ac:dyDescent="0.3">
      <c r="A106" s="297" t="s">
        <v>482</v>
      </c>
      <c r="B106" s="297">
        <f>SUM(KOHVIK!B103:B105)</f>
        <v>2288.165</v>
      </c>
      <c r="C106" s="297">
        <f>SUM(KOHVIK!C103:C105)</f>
        <v>15625.07</v>
      </c>
      <c r="E106" s="8"/>
      <c r="J106" s="296"/>
    </row>
    <row r="107" spans="1:10" x14ac:dyDescent="0.3">
      <c r="E107" s="8"/>
      <c r="J107" s="296"/>
    </row>
    <row r="109" spans="1:10" x14ac:dyDescent="0.3">
      <c r="A109" s="8" t="s">
        <v>364</v>
      </c>
      <c r="B109" t="s">
        <v>502</v>
      </c>
    </row>
    <row r="110" spans="1:10" ht="24" x14ac:dyDescent="0.3">
      <c r="A110" s="299">
        <v>2016</v>
      </c>
      <c r="B110" s="300" t="s">
        <v>506</v>
      </c>
      <c r="C110" s="301"/>
      <c r="D110" s="301"/>
      <c r="E110" s="302"/>
      <c r="F110" s="303"/>
      <c r="G110" s="303"/>
      <c r="H110" s="303"/>
      <c r="I110" s="303"/>
    </row>
    <row r="111" spans="1:10" x14ac:dyDescent="0.3">
      <c r="A111" s="304" t="s">
        <v>466</v>
      </c>
      <c r="B111" s="305">
        <v>5495.71</v>
      </c>
      <c r="C111" s="306"/>
      <c r="D111" s="307"/>
      <c r="E111" s="308"/>
      <c r="F111" s="309"/>
      <c r="G111" s="309"/>
      <c r="H111" s="309"/>
      <c r="I111" s="309"/>
    </row>
    <row r="112" spans="1:10" x14ac:dyDescent="0.3">
      <c r="A112" s="304" t="s">
        <v>469</v>
      </c>
      <c r="B112" s="305">
        <v>3685.65</v>
      </c>
      <c r="C112" s="168"/>
      <c r="D112" s="307"/>
      <c r="E112" s="308"/>
      <c r="F112" s="309"/>
      <c r="G112" s="309"/>
      <c r="H112" s="309"/>
      <c r="I112" s="309"/>
    </row>
    <row r="113" spans="1:9" x14ac:dyDescent="0.3">
      <c r="A113" s="304" t="s">
        <v>471</v>
      </c>
      <c r="B113" s="305">
        <v>4820.58</v>
      </c>
      <c r="C113" s="168"/>
      <c r="D113" s="307"/>
      <c r="E113" s="308"/>
      <c r="F113" s="309"/>
      <c r="G113" s="309"/>
      <c r="H113" s="309"/>
      <c r="I113" s="309"/>
    </row>
    <row r="114" spans="1:9" x14ac:dyDescent="0.3">
      <c r="A114" s="304" t="s">
        <v>474</v>
      </c>
      <c r="B114" s="305">
        <v>5634.76</v>
      </c>
      <c r="C114" s="168"/>
      <c r="D114" s="307"/>
      <c r="E114" s="308"/>
      <c r="F114" s="309"/>
      <c r="G114" s="309"/>
      <c r="H114" s="309"/>
      <c r="I114" s="309"/>
    </row>
    <row r="115" spans="1:9" x14ac:dyDescent="0.3">
      <c r="A115" s="310" t="s">
        <v>482</v>
      </c>
      <c r="B115" s="299">
        <f>SUM(KOHVIK!B111:B114)</f>
        <v>19636.7</v>
      </c>
      <c r="C115" s="311"/>
      <c r="D115" s="311"/>
      <c r="E115" s="312"/>
      <c r="F115" s="313"/>
      <c r="G115" s="313"/>
      <c r="H115" s="313"/>
      <c r="I115" s="313"/>
    </row>
    <row r="116" spans="1:9" x14ac:dyDescent="0.3">
      <c r="A116" s="314"/>
      <c r="B116" s="314"/>
      <c r="E116" s="54"/>
    </row>
    <row r="117" spans="1:9" x14ac:dyDescent="0.3">
      <c r="A117" s="310">
        <v>2017</v>
      </c>
      <c r="B117" s="305"/>
      <c r="C117" s="1"/>
      <c r="D117" s="309"/>
      <c r="E117" s="308"/>
      <c r="F117" s="309"/>
      <c r="G117" s="309"/>
      <c r="H117" s="309"/>
      <c r="I117" s="309"/>
    </row>
    <row r="118" spans="1:9" x14ac:dyDescent="0.3">
      <c r="A118" s="304" t="s">
        <v>466</v>
      </c>
      <c r="B118" s="315">
        <v>7554.25</v>
      </c>
      <c r="C118" s="168"/>
      <c r="D118" s="316"/>
      <c r="E118" s="317"/>
      <c r="F118" s="318"/>
      <c r="G118" s="318"/>
      <c r="H118" s="318"/>
      <c r="I118" s="318"/>
    </row>
    <row r="119" spans="1:9" x14ac:dyDescent="0.3">
      <c r="A119" s="304" t="s">
        <v>469</v>
      </c>
      <c r="B119" s="305">
        <v>9160.51</v>
      </c>
      <c r="C119" s="168"/>
      <c r="D119" s="316"/>
      <c r="E119" s="308"/>
      <c r="F119" s="309"/>
      <c r="G119" s="309"/>
      <c r="H119" s="309"/>
      <c r="I119" s="309"/>
    </row>
    <row r="120" spans="1:9" x14ac:dyDescent="0.3">
      <c r="A120" s="319" t="s">
        <v>471</v>
      </c>
      <c r="B120" s="320">
        <v>2953.82</v>
      </c>
      <c r="C120" s="168"/>
      <c r="D120" s="316"/>
      <c r="E120" s="308"/>
      <c r="F120" s="309"/>
      <c r="G120" s="309"/>
      <c r="H120" s="309"/>
      <c r="I120" s="309"/>
    </row>
    <row r="121" spans="1:9" x14ac:dyDescent="0.3">
      <c r="A121" s="310" t="s">
        <v>482</v>
      </c>
      <c r="B121" s="299">
        <f>KOHVIK!B118+KOHVIK!B119+KOHVIK!B120</f>
        <v>19668.580000000002</v>
      </c>
      <c r="C121" s="311"/>
      <c r="D121" s="311"/>
      <c r="E121" s="312"/>
      <c r="F121" s="313"/>
      <c r="G121" s="313"/>
      <c r="H121" s="313"/>
      <c r="I121" s="313"/>
    </row>
    <row r="122" spans="1:9" x14ac:dyDescent="0.3">
      <c r="A122" t="s">
        <v>507</v>
      </c>
    </row>
    <row r="123" spans="1:9" x14ac:dyDescent="0.3">
      <c r="A123" t="s">
        <v>508</v>
      </c>
    </row>
    <row r="126" spans="1:9" ht="26.25" customHeight="1" x14ac:dyDescent="0.3"/>
  </sheetData>
  <mergeCells count="76">
    <mergeCell ref="A91:A92"/>
    <mergeCell ref="E91:E92"/>
    <mergeCell ref="A85:A86"/>
    <mergeCell ref="E85:E86"/>
    <mergeCell ref="A87:A88"/>
    <mergeCell ref="E87:E88"/>
    <mergeCell ref="A89:A90"/>
    <mergeCell ref="A77:A78"/>
    <mergeCell ref="E77:E78"/>
    <mergeCell ref="A79:A80"/>
    <mergeCell ref="E79:E80"/>
    <mergeCell ref="A81:A82"/>
    <mergeCell ref="E81:E82"/>
    <mergeCell ref="M47:M48"/>
    <mergeCell ref="B72:C72"/>
    <mergeCell ref="A73:A74"/>
    <mergeCell ref="E73:E74"/>
    <mergeCell ref="A75:A76"/>
    <mergeCell ref="E75:E76"/>
    <mergeCell ref="A43:A44"/>
    <mergeCell ref="J43:J44"/>
    <mergeCell ref="K43:K44"/>
    <mergeCell ref="L43:L44"/>
    <mergeCell ref="G47:G48"/>
    <mergeCell ref="H47:H48"/>
    <mergeCell ref="I47:I48"/>
    <mergeCell ref="J47:J48"/>
    <mergeCell ref="K47:K48"/>
    <mergeCell ref="L47:L48"/>
    <mergeCell ref="A40:A41"/>
    <mergeCell ref="I40:I42"/>
    <mergeCell ref="J40:J42"/>
    <mergeCell ref="K40:K42"/>
    <mergeCell ref="L40:L42"/>
    <mergeCell ref="A37:A38"/>
    <mergeCell ref="I37:I39"/>
    <mergeCell ref="J37:J39"/>
    <mergeCell ref="K37:K39"/>
    <mergeCell ref="L37:L39"/>
    <mergeCell ref="A34:A35"/>
    <mergeCell ref="I34:I36"/>
    <mergeCell ref="J34:J36"/>
    <mergeCell ref="K34:K36"/>
    <mergeCell ref="L34:L36"/>
    <mergeCell ref="A30:A31"/>
    <mergeCell ref="I30:I31"/>
    <mergeCell ref="J30:J31"/>
    <mergeCell ref="K30:K31"/>
    <mergeCell ref="L30:L31"/>
    <mergeCell ref="A27:A28"/>
    <mergeCell ref="I27:I29"/>
    <mergeCell ref="J27:J29"/>
    <mergeCell ref="K27:K29"/>
    <mergeCell ref="L27:L29"/>
    <mergeCell ref="A24:A25"/>
    <mergeCell ref="I24:I26"/>
    <mergeCell ref="J24:J26"/>
    <mergeCell ref="K24:K26"/>
    <mergeCell ref="L24:L26"/>
    <mergeCell ref="A21:A22"/>
    <mergeCell ref="I21:I23"/>
    <mergeCell ref="J21:J23"/>
    <mergeCell ref="K21:K23"/>
    <mergeCell ref="L21:L23"/>
    <mergeCell ref="B17:C17"/>
    <mergeCell ref="R17:S17"/>
    <mergeCell ref="A18:A19"/>
    <mergeCell ref="I18:I20"/>
    <mergeCell ref="J18:J20"/>
    <mergeCell ref="K18:K20"/>
    <mergeCell ref="L18:L20"/>
    <mergeCell ref="R2:S2"/>
    <mergeCell ref="Z2:AA2"/>
    <mergeCell ref="B9:C9"/>
    <mergeCell ref="A10:B10"/>
    <mergeCell ref="A14:B1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Roman,Regular"&amp;A</oddHeader>
    <oddFooter>&amp;C&amp;"Times New Roman,Regular"Page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31" zoomScale="85" zoomScaleNormal="85" workbookViewId="0">
      <selection activeCell="J40" sqref="J40"/>
    </sheetView>
  </sheetViews>
  <sheetFormatPr defaultColWidth="8.796875" defaultRowHeight="15.6" x14ac:dyDescent="0.3"/>
  <cols>
    <col min="1" max="1" width="22" customWidth="1"/>
    <col min="2" max="2" width="19.796875" customWidth="1"/>
    <col min="3" max="3" width="15.796875" customWidth="1"/>
    <col min="4" max="4" width="14.69921875" customWidth="1"/>
    <col min="5" max="5" width="12.296875" customWidth="1"/>
    <col min="6" max="6" width="15.796875" customWidth="1"/>
    <col min="7" max="1025" width="12.296875" customWidth="1"/>
  </cols>
  <sheetData>
    <row r="1" spans="1:6" x14ac:dyDescent="0.3">
      <c r="A1" s="247" t="s">
        <v>509</v>
      </c>
      <c r="B1" s="295">
        <v>2013</v>
      </c>
      <c r="C1" s="295">
        <v>2014</v>
      </c>
      <c r="D1" s="295">
        <v>2015</v>
      </c>
      <c r="E1" s="295">
        <v>2016</v>
      </c>
      <c r="F1" s="295" t="s">
        <v>510</v>
      </c>
    </row>
    <row r="2" spans="1:6" x14ac:dyDescent="0.3">
      <c r="A2" s="248" t="s">
        <v>511</v>
      </c>
      <c r="B2" s="234">
        <v>87114.38</v>
      </c>
      <c r="C2" s="234">
        <v>390157.88</v>
      </c>
      <c r="D2" s="234">
        <v>376832.26</v>
      </c>
      <c r="E2" s="234">
        <v>410907</v>
      </c>
      <c r="F2" s="234">
        <v>213164.89</v>
      </c>
    </row>
    <row r="3" spans="1:6" x14ac:dyDescent="0.3">
      <c r="A3" s="242" t="s">
        <v>512</v>
      </c>
      <c r="B3" s="242">
        <v>62788.18</v>
      </c>
      <c r="C3" s="242">
        <v>250177.88</v>
      </c>
      <c r="D3" s="242">
        <v>271688.5</v>
      </c>
      <c r="E3" s="242">
        <v>251654.04</v>
      </c>
      <c r="F3" s="242">
        <v>162705.99</v>
      </c>
    </row>
    <row r="4" spans="1:6" x14ac:dyDescent="0.3">
      <c r="A4" s="242" t="s">
        <v>513</v>
      </c>
      <c r="B4" s="257">
        <v>50404.55</v>
      </c>
      <c r="C4" s="257">
        <v>208063.45</v>
      </c>
      <c r="D4" s="257">
        <v>210678.74</v>
      </c>
      <c r="E4" s="257">
        <v>207036.5</v>
      </c>
      <c r="F4" s="257">
        <v>121185.57</v>
      </c>
    </row>
    <row r="5" spans="1:6" x14ac:dyDescent="0.3">
      <c r="A5" s="297" t="s">
        <v>514</v>
      </c>
      <c r="B5" s="297">
        <f>Resto!B2-Resto!B3-Resto!B4</f>
        <v>-26078.35</v>
      </c>
      <c r="C5" s="297">
        <f>Resto!C2-Resto!C3-Resto!C4</f>
        <v>-68083.450000000012</v>
      </c>
      <c r="D5" s="297">
        <f>Resto!D2-Resto!D3-Resto!D4</f>
        <v>-105534.97999999998</v>
      </c>
      <c r="E5" s="297">
        <f>Resto!E2-Resto!E3-Resto!E4</f>
        <v>-47783.540000000008</v>
      </c>
      <c r="F5" s="297">
        <f>Resto!F2-Resto!F3-Resto!F4</f>
        <v>-70726.669999999984</v>
      </c>
    </row>
    <row r="10" spans="1:6" ht="26.4" x14ac:dyDescent="0.3">
      <c r="A10" s="321" t="s">
        <v>515</v>
      </c>
      <c r="B10" s="322" t="s">
        <v>516</v>
      </c>
      <c r="C10" s="323"/>
    </row>
    <row r="11" spans="1:6" ht="15" customHeight="1" x14ac:dyDescent="0.3">
      <c r="A11" s="24"/>
      <c r="B11" s="404" t="s">
        <v>517</v>
      </c>
      <c r="C11" s="405" t="s">
        <v>518</v>
      </c>
    </row>
    <row r="12" spans="1:6" x14ac:dyDescent="0.3">
      <c r="A12" s="24"/>
      <c r="B12" s="404"/>
      <c r="C12" s="405"/>
    </row>
    <row r="13" spans="1:6" x14ac:dyDescent="0.3">
      <c r="A13" s="324" t="s">
        <v>519</v>
      </c>
      <c r="B13" s="325" t="s">
        <v>520</v>
      </c>
      <c r="C13" s="326" t="s">
        <v>520</v>
      </c>
    </row>
    <row r="14" spans="1:6" x14ac:dyDescent="0.3">
      <c r="A14" s="327" t="s">
        <v>521</v>
      </c>
      <c r="B14" s="328"/>
      <c r="C14" s="329"/>
    </row>
    <row r="15" spans="1:6" x14ac:dyDescent="0.3">
      <c r="A15" s="330" t="s">
        <v>438</v>
      </c>
      <c r="B15" s="331">
        <v>89.26</v>
      </c>
      <c r="C15" s="332">
        <v>-408.85</v>
      </c>
    </row>
    <row r="16" spans="1:6" x14ac:dyDescent="0.3">
      <c r="A16" s="333" t="s">
        <v>439</v>
      </c>
      <c r="B16" s="334">
        <v>558.33000000000004</v>
      </c>
      <c r="C16" s="335">
        <v>-2730.6</v>
      </c>
    </row>
    <row r="17" spans="1:3" x14ac:dyDescent="0.3">
      <c r="A17" s="327" t="s">
        <v>522</v>
      </c>
      <c r="B17" s="328"/>
      <c r="C17" s="329"/>
    </row>
    <row r="18" spans="1:3" x14ac:dyDescent="0.3">
      <c r="A18" s="330" t="s">
        <v>438</v>
      </c>
      <c r="B18" s="331">
        <v>564.42999999999995</v>
      </c>
      <c r="C18" s="332">
        <v>-475.47</v>
      </c>
    </row>
    <row r="19" spans="1:3" x14ac:dyDescent="0.3">
      <c r="A19" s="333" t="s">
        <v>439</v>
      </c>
      <c r="B19" s="334">
        <v>621.52</v>
      </c>
      <c r="C19" s="335">
        <v>-2892.26</v>
      </c>
    </row>
    <row r="20" spans="1:3" x14ac:dyDescent="0.3">
      <c r="A20" s="327" t="s">
        <v>523</v>
      </c>
      <c r="B20" s="328"/>
      <c r="C20" s="329"/>
    </row>
    <row r="21" spans="1:3" x14ac:dyDescent="0.3">
      <c r="A21" s="330" t="s">
        <v>438</v>
      </c>
      <c r="B21" s="331">
        <v>385.77</v>
      </c>
      <c r="C21" s="332">
        <v>-797.7</v>
      </c>
    </row>
    <row r="22" spans="1:3" x14ac:dyDescent="0.3">
      <c r="A22" s="333" t="s">
        <v>439</v>
      </c>
      <c r="B22" s="334">
        <v>946.91</v>
      </c>
      <c r="C22" s="335">
        <v>-2140.1799999999998</v>
      </c>
    </row>
    <row r="23" spans="1:3" x14ac:dyDescent="0.3">
      <c r="A23" s="327" t="s">
        <v>524</v>
      </c>
      <c r="B23" s="328"/>
      <c r="C23" s="329"/>
    </row>
    <row r="24" spans="1:3" x14ac:dyDescent="0.3">
      <c r="A24" s="330" t="s">
        <v>438</v>
      </c>
      <c r="B24" s="331">
        <v>188.38</v>
      </c>
      <c r="C24" s="332">
        <v>-1357.45</v>
      </c>
    </row>
    <row r="25" spans="1:3" x14ac:dyDescent="0.3">
      <c r="A25" s="333" t="s">
        <v>439</v>
      </c>
      <c r="B25" s="334">
        <v>397.96</v>
      </c>
      <c r="C25" s="335">
        <v>-3006.77</v>
      </c>
    </row>
    <row r="26" spans="1:3" x14ac:dyDescent="0.3">
      <c r="A26" s="327" t="s">
        <v>525</v>
      </c>
      <c r="B26" s="328"/>
      <c r="C26" s="329"/>
    </row>
    <row r="27" spans="1:3" x14ac:dyDescent="0.3">
      <c r="A27" s="330" t="s">
        <v>438</v>
      </c>
      <c r="B27" s="331">
        <v>112.8</v>
      </c>
      <c r="C27" s="332">
        <v>-872.38</v>
      </c>
    </row>
    <row r="28" spans="1:3" x14ac:dyDescent="0.3">
      <c r="A28" s="333" t="s">
        <v>439</v>
      </c>
      <c r="B28" s="334">
        <v>475.06</v>
      </c>
      <c r="C28" s="335">
        <v>-3313.21</v>
      </c>
    </row>
    <row r="29" spans="1:3" x14ac:dyDescent="0.3">
      <c r="A29" s="327" t="s">
        <v>526</v>
      </c>
      <c r="B29" s="328"/>
      <c r="C29" s="329"/>
    </row>
    <row r="30" spans="1:3" x14ac:dyDescent="0.3">
      <c r="A30" s="330" t="s">
        <v>438</v>
      </c>
      <c r="B30" s="331">
        <v>244.08</v>
      </c>
      <c r="C30" s="332">
        <v>-863.91</v>
      </c>
    </row>
    <row r="31" spans="1:3" x14ac:dyDescent="0.3">
      <c r="A31" s="333" t="s">
        <v>439</v>
      </c>
      <c r="B31" s="334">
        <v>844.07</v>
      </c>
      <c r="C31" s="335">
        <v>-2165.29</v>
      </c>
    </row>
    <row r="32" spans="1:3" x14ac:dyDescent="0.3">
      <c r="A32" s="327" t="s">
        <v>527</v>
      </c>
      <c r="B32" s="328"/>
      <c r="C32" s="329"/>
    </row>
    <row r="33" spans="1:3" x14ac:dyDescent="0.3">
      <c r="A33" s="330" t="s">
        <v>438</v>
      </c>
      <c r="B33" s="331">
        <v>34.9328</v>
      </c>
      <c r="C33" s="332">
        <v>8.8127999999999993</v>
      </c>
    </row>
    <row r="34" spans="1:3" x14ac:dyDescent="0.3">
      <c r="A34" s="333" t="s">
        <v>439</v>
      </c>
      <c r="B34" s="334">
        <v>5.3057999999999996</v>
      </c>
      <c r="C34" s="335">
        <v>9.1564999999999994</v>
      </c>
    </row>
    <row r="35" spans="1:3" x14ac:dyDescent="0.3">
      <c r="A35" s="336" t="s">
        <v>528</v>
      </c>
      <c r="B35" s="331"/>
      <c r="C35" s="332"/>
    </row>
    <row r="36" spans="1:3" x14ac:dyDescent="0.3">
      <c r="A36" s="330" t="s">
        <v>438</v>
      </c>
      <c r="B36" s="331">
        <v>0</v>
      </c>
      <c r="C36" s="332">
        <v>-134.52199999999999</v>
      </c>
    </row>
    <row r="37" spans="1:3" x14ac:dyDescent="0.3">
      <c r="A37" s="333" t="s">
        <v>439</v>
      </c>
      <c r="B37" s="334">
        <v>473.46940000000001</v>
      </c>
      <c r="C37" s="335">
        <v>-1151.0527999999999</v>
      </c>
    </row>
    <row r="38" spans="1:3" x14ac:dyDescent="0.3">
      <c r="A38" s="336" t="s">
        <v>529</v>
      </c>
      <c r="B38" s="331"/>
      <c r="C38" s="332"/>
    </row>
    <row r="39" spans="1:3" x14ac:dyDescent="0.3">
      <c r="A39" s="330" t="s">
        <v>438</v>
      </c>
      <c r="B39" s="331">
        <v>45.44</v>
      </c>
      <c r="C39" s="332">
        <v>-782.09</v>
      </c>
    </row>
    <row r="40" spans="1:3" x14ac:dyDescent="0.3">
      <c r="A40" s="330" t="s">
        <v>439</v>
      </c>
      <c r="B40" s="331">
        <v>290.18</v>
      </c>
      <c r="C40" s="332">
        <v>-2427.13</v>
      </c>
    </row>
    <row r="41" spans="1:3" x14ac:dyDescent="0.3">
      <c r="A41" s="93"/>
      <c r="B41" s="93"/>
      <c r="C41" s="337"/>
    </row>
  </sheetData>
  <mergeCells count="2">
    <mergeCell ref="B11:B12"/>
    <mergeCell ref="C11:C1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Roman,Regular"&amp;A</oddHeader>
    <oddFooter>&amp;C&amp;"Times New Roman,Regular"Page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85" zoomScaleNormal="85" workbookViewId="0">
      <selection activeCell="E1" sqref="E1"/>
    </sheetView>
  </sheetViews>
  <sheetFormatPr defaultColWidth="8.796875" defaultRowHeight="15.6" x14ac:dyDescent="0.3"/>
  <cols>
    <col min="1" max="1" width="4" customWidth="1"/>
    <col min="2" max="2" width="39.19921875" customWidth="1"/>
    <col min="3" max="1025" width="8.5" customWidth="1"/>
  </cols>
  <sheetData>
    <row r="1" spans="1:10" ht="31.2" x14ac:dyDescent="0.3">
      <c r="A1" s="338"/>
      <c r="B1" s="339" t="s">
        <v>530</v>
      </c>
      <c r="C1" s="340" t="s">
        <v>531</v>
      </c>
      <c r="D1" s="340" t="s">
        <v>532</v>
      </c>
      <c r="E1" s="340" t="s">
        <v>533</v>
      </c>
      <c r="F1" s="340" t="s">
        <v>534</v>
      </c>
      <c r="G1" s="340" t="s">
        <v>535</v>
      </c>
      <c r="H1" s="340" t="s">
        <v>536</v>
      </c>
      <c r="I1" s="340" t="s">
        <v>537</v>
      </c>
      <c r="J1" s="341" t="s">
        <v>538</v>
      </c>
    </row>
    <row r="2" spans="1:10" x14ac:dyDescent="0.3">
      <c r="A2" s="340">
        <v>1</v>
      </c>
      <c r="B2" s="340" t="s">
        <v>81</v>
      </c>
      <c r="C2" s="338">
        <v>4</v>
      </c>
      <c r="D2" s="342">
        <f>SUM(piletimüük!F2*piletimüük!G2*piletimüük!H2)</f>
        <v>1144</v>
      </c>
      <c r="E2" s="342">
        <f>piletimüük!C2*piletimüük!D2</f>
        <v>4576</v>
      </c>
      <c r="F2" s="338">
        <v>10</v>
      </c>
      <c r="G2" s="338">
        <v>143</v>
      </c>
      <c r="H2" s="338">
        <v>0.8</v>
      </c>
      <c r="I2" s="343">
        <f>piletimüük!C2*piletimüük!G2*piletimüük!H2</f>
        <v>457.6</v>
      </c>
      <c r="J2" s="344">
        <f>piletimüük!C2*piletimüük!G2</f>
        <v>572</v>
      </c>
    </row>
    <row r="3" spans="1:10" x14ac:dyDescent="0.3">
      <c r="A3" s="340">
        <v>2</v>
      </c>
      <c r="B3" s="340" t="s">
        <v>99</v>
      </c>
      <c r="C3" s="338">
        <v>8</v>
      </c>
      <c r="D3" s="342">
        <f>SUM(piletimüük!F3*piletimüük!G3*piletimüük!H3)</f>
        <v>1707.2</v>
      </c>
      <c r="E3" s="342">
        <f>piletimüük!C3*piletimüük!D3</f>
        <v>13657.6</v>
      </c>
      <c r="F3" s="338">
        <v>11</v>
      </c>
      <c r="G3" s="338">
        <v>194</v>
      </c>
      <c r="H3" s="338">
        <v>0.8</v>
      </c>
      <c r="I3" s="343">
        <f>piletimüük!C3*piletimüük!G3*piletimüük!H3</f>
        <v>1241.6000000000001</v>
      </c>
      <c r="J3" s="344">
        <f>piletimüük!C3*piletimüük!G3</f>
        <v>1552</v>
      </c>
    </row>
    <row r="4" spans="1:10" x14ac:dyDescent="0.3">
      <c r="A4" s="340">
        <v>3</v>
      </c>
      <c r="B4" s="340" t="s">
        <v>539</v>
      </c>
      <c r="C4" s="338">
        <v>8</v>
      </c>
      <c r="D4" s="342">
        <f>SUM(piletimüük!F4*piletimüük!G4*piletimüük!H4)</f>
        <v>1058.3999999999999</v>
      </c>
      <c r="E4" s="342">
        <f>piletimüük!C4*piletimüük!D4</f>
        <v>8467.1999999999989</v>
      </c>
      <c r="F4" s="338">
        <v>10.5</v>
      </c>
      <c r="G4" s="338">
        <v>144</v>
      </c>
      <c r="H4" s="338">
        <v>0.7</v>
      </c>
      <c r="I4" s="343">
        <f>piletimüük!C4*piletimüük!G4*piletimüük!H4</f>
        <v>806.4</v>
      </c>
      <c r="J4" s="344">
        <f>piletimüük!C4*piletimüük!G4</f>
        <v>1152</v>
      </c>
    </row>
    <row r="5" spans="1:10" x14ac:dyDescent="0.3">
      <c r="A5" s="340">
        <v>4</v>
      </c>
      <c r="B5" s="340" t="s">
        <v>106</v>
      </c>
      <c r="C5" s="338">
        <v>8</v>
      </c>
      <c r="D5" s="342">
        <f>SUM(piletimüük!F5*piletimüük!G5*piletimüük!H5)</f>
        <v>1493.8</v>
      </c>
      <c r="E5" s="342">
        <f>piletimüük!C5*piletimüük!D5</f>
        <v>11950.4</v>
      </c>
      <c r="F5" s="338">
        <v>11</v>
      </c>
      <c r="G5" s="338">
        <v>194</v>
      </c>
      <c r="H5" s="338">
        <v>0.7</v>
      </c>
      <c r="I5" s="343">
        <f>piletimüük!C5*piletimüük!G5*piletimüük!H5</f>
        <v>1086.3999999999999</v>
      </c>
      <c r="J5" s="344">
        <f>piletimüük!C5*piletimüük!G5</f>
        <v>1552</v>
      </c>
    </row>
    <row r="6" spans="1:10" x14ac:dyDescent="0.3">
      <c r="A6" s="340">
        <v>5</v>
      </c>
      <c r="B6" s="340" t="s">
        <v>112</v>
      </c>
      <c r="C6" s="338">
        <v>6</v>
      </c>
      <c r="D6" s="342">
        <f>SUM(piletimüük!F6*piletimüük!G6*piletimüük!H6)</f>
        <v>1493.8</v>
      </c>
      <c r="E6" s="342">
        <f>piletimüük!C6*piletimüük!D6</f>
        <v>8962.7999999999993</v>
      </c>
      <c r="F6" s="338">
        <v>11</v>
      </c>
      <c r="G6" s="338">
        <v>194</v>
      </c>
      <c r="H6" s="338">
        <v>0.7</v>
      </c>
      <c r="I6" s="343">
        <f>piletimüük!C6*piletimüük!G6*piletimüük!H6</f>
        <v>814.8</v>
      </c>
      <c r="J6" s="344">
        <f>piletimüük!C6*piletimüük!G6</f>
        <v>1164</v>
      </c>
    </row>
    <row r="7" spans="1:10" x14ac:dyDescent="0.3">
      <c r="A7" s="340">
        <v>6</v>
      </c>
      <c r="B7" s="340" t="s">
        <v>120</v>
      </c>
      <c r="C7" s="338">
        <v>16</v>
      </c>
      <c r="D7" s="342">
        <f>SUM(piletimüük!F7*piletimüük!G7*piletimüük!H7)</f>
        <v>1784.8000000000002</v>
      </c>
      <c r="E7" s="342">
        <f>piletimüük!C7*piletimüük!D7</f>
        <v>28556.800000000003</v>
      </c>
      <c r="F7" s="338">
        <v>11.5</v>
      </c>
      <c r="G7" s="338">
        <v>194</v>
      </c>
      <c r="H7" s="338">
        <v>0.8</v>
      </c>
      <c r="I7" s="343">
        <f>piletimüük!C7*piletimüük!G7*piletimüük!H7</f>
        <v>2483.2000000000003</v>
      </c>
      <c r="J7" s="344">
        <f>piletimüük!C7*piletimüük!G7</f>
        <v>3104</v>
      </c>
    </row>
    <row r="8" spans="1:10" x14ac:dyDescent="0.3">
      <c r="A8" s="340">
        <v>7</v>
      </c>
      <c r="B8" s="340" t="s">
        <v>121</v>
      </c>
      <c r="C8" s="338">
        <v>20</v>
      </c>
      <c r="D8" s="342">
        <f>SUM(piletimüük!F8*piletimüük!G8*piletimüük!H8)</f>
        <v>1224</v>
      </c>
      <c r="E8" s="342">
        <f>piletimüük!C8*piletimüük!D8</f>
        <v>24480</v>
      </c>
      <c r="F8" s="338">
        <v>9</v>
      </c>
      <c r="G8" s="338">
        <v>160</v>
      </c>
      <c r="H8" s="338">
        <v>0.85</v>
      </c>
      <c r="I8" s="343">
        <f>piletimüük!C8*piletimüük!G8*piletimüük!H8</f>
        <v>2720</v>
      </c>
      <c r="J8" s="344">
        <f>piletimüük!C8*piletimüük!G8</f>
        <v>3200</v>
      </c>
    </row>
    <row r="9" spans="1:10" x14ac:dyDescent="0.3">
      <c r="A9" s="340">
        <v>8</v>
      </c>
      <c r="B9" s="340" t="s">
        <v>124</v>
      </c>
      <c r="C9" s="338">
        <v>16</v>
      </c>
      <c r="D9" s="342">
        <f>SUM(piletimüük!F9*piletimüük!G9*piletimüük!H9)</f>
        <v>1707.2</v>
      </c>
      <c r="E9" s="342">
        <f>piletimüük!C9*piletimüük!D9</f>
        <v>27315.200000000001</v>
      </c>
      <c r="F9" s="338">
        <v>11</v>
      </c>
      <c r="G9" s="338">
        <v>194</v>
      </c>
      <c r="H9" s="338">
        <v>0.8</v>
      </c>
      <c r="I9" s="343">
        <f>piletimüük!C9*piletimüük!G9*piletimüük!H9</f>
        <v>2483.2000000000003</v>
      </c>
      <c r="J9" s="344">
        <f>piletimüük!C9*piletimüük!G9</f>
        <v>3104</v>
      </c>
    </row>
    <row r="10" spans="1:10" x14ac:dyDescent="0.3">
      <c r="A10" s="340">
        <v>9</v>
      </c>
      <c r="B10" s="340" t="s">
        <v>540</v>
      </c>
      <c r="C10" s="338">
        <v>18</v>
      </c>
      <c r="D10" s="342">
        <f>SUM(piletimüük!F10*piletimüük!G10*piletimüük!H10)</f>
        <v>1493.8</v>
      </c>
      <c r="E10" s="342">
        <f>piletimüük!C10*piletimüük!D10</f>
        <v>26888.399999999998</v>
      </c>
      <c r="F10" s="338">
        <v>11</v>
      </c>
      <c r="G10" s="338">
        <v>194</v>
      </c>
      <c r="H10" s="338">
        <v>0.7</v>
      </c>
      <c r="I10" s="343">
        <f>piletimüük!C10*piletimüük!G10*piletimüük!H10</f>
        <v>2444.3999999999996</v>
      </c>
      <c r="J10" s="344">
        <f>piletimüük!C10*piletimüük!G10</f>
        <v>3492</v>
      </c>
    </row>
    <row r="11" spans="1:10" x14ac:dyDescent="0.3">
      <c r="A11" s="340">
        <v>10</v>
      </c>
      <c r="B11" s="340" t="s">
        <v>541</v>
      </c>
      <c r="C11" s="338">
        <v>14</v>
      </c>
      <c r="D11" s="342">
        <f>SUM(piletimüük!F11*piletimüük!G11*piletimüük!H11)</f>
        <v>1673.25</v>
      </c>
      <c r="E11" s="342">
        <f>piletimüük!C11*piletimüük!D11</f>
        <v>23425.5</v>
      </c>
      <c r="F11" s="338">
        <v>11.5</v>
      </c>
      <c r="G11" s="338">
        <v>194</v>
      </c>
      <c r="H11" s="338">
        <v>0.75</v>
      </c>
      <c r="I11" s="343">
        <f>piletimüük!C11*piletimüük!G11*piletimüük!H11</f>
        <v>2037</v>
      </c>
      <c r="J11" s="344">
        <f>piletimüük!C11*piletimüük!G11</f>
        <v>2716</v>
      </c>
    </row>
    <row r="12" spans="1:10" x14ac:dyDescent="0.3">
      <c r="A12" s="340">
        <v>11</v>
      </c>
      <c r="B12" s="340" t="s">
        <v>542</v>
      </c>
      <c r="C12" s="338">
        <v>7</v>
      </c>
      <c r="D12" s="342">
        <f>SUM(piletimüük!F12*piletimüük!G12*piletimüük!H12)</f>
        <v>1784.8000000000002</v>
      </c>
      <c r="E12" s="342">
        <f>piletimüük!C12*piletimüük!D12</f>
        <v>12493.600000000002</v>
      </c>
      <c r="F12" s="338">
        <v>11.5</v>
      </c>
      <c r="G12" s="338">
        <v>194</v>
      </c>
      <c r="H12" s="338">
        <v>0.8</v>
      </c>
      <c r="I12" s="343">
        <f>piletimüük!C12*piletimüük!G12*piletimüük!H12</f>
        <v>1086.4000000000001</v>
      </c>
      <c r="J12" s="344">
        <f>piletimüük!C12*piletimüük!G12</f>
        <v>1358</v>
      </c>
    </row>
    <row r="13" spans="1:10" x14ac:dyDescent="0.3">
      <c r="A13" s="340">
        <v>12</v>
      </c>
      <c r="B13" s="340" t="s">
        <v>543</v>
      </c>
      <c r="C13" s="338">
        <v>12</v>
      </c>
      <c r="D13" s="342">
        <f>SUM(piletimüük!F13*piletimüük!G13*piletimüük!H13)</f>
        <v>2269.8000000000002</v>
      </c>
      <c r="E13" s="342">
        <f>piletimüük!C13*piletimüük!D13</f>
        <v>27237.600000000002</v>
      </c>
      <c r="F13" s="338">
        <v>13</v>
      </c>
      <c r="G13" s="338">
        <v>194</v>
      </c>
      <c r="H13" s="338">
        <v>0.9</v>
      </c>
      <c r="I13" s="343">
        <f>piletimüük!C13*piletimüük!G13*piletimüük!H13</f>
        <v>2095.2000000000003</v>
      </c>
      <c r="J13" s="344">
        <f>piletimüük!C13*piletimüük!G13</f>
        <v>2328</v>
      </c>
    </row>
    <row r="14" spans="1:10" x14ac:dyDescent="0.3">
      <c r="A14" s="340">
        <v>13</v>
      </c>
      <c r="B14" s="340" t="s">
        <v>544</v>
      </c>
      <c r="C14" s="338">
        <v>6</v>
      </c>
      <c r="D14" s="342">
        <f>SUM(piletimüük!F14*piletimüük!G14*piletimüük!H14)</f>
        <v>2007.9</v>
      </c>
      <c r="E14" s="342">
        <f>piletimüük!C14*piletimüük!D14</f>
        <v>12047.400000000001</v>
      </c>
      <c r="F14" s="338">
        <v>11.5</v>
      </c>
      <c r="G14" s="338">
        <v>194</v>
      </c>
      <c r="H14" s="338">
        <v>0.9</v>
      </c>
      <c r="I14" s="343">
        <f>piletimüük!C14*piletimüük!G14*piletimüük!H14</f>
        <v>1047.6000000000001</v>
      </c>
      <c r="J14" s="344">
        <f>piletimüük!C14*piletimüük!G14</f>
        <v>1164</v>
      </c>
    </row>
    <row r="15" spans="1:10" x14ac:dyDescent="0.3">
      <c r="A15" s="340">
        <v>14</v>
      </c>
      <c r="B15" s="340" t="s">
        <v>340</v>
      </c>
      <c r="C15" s="338">
        <v>2</v>
      </c>
      <c r="D15" s="342">
        <f>SUM(piletimüük!F15*piletimüük!G15*piletimüük!H15)</f>
        <v>2764.5</v>
      </c>
      <c r="E15" s="342">
        <f>piletimüük!C15*piletimüük!D15</f>
        <v>5529</v>
      </c>
      <c r="F15" s="338">
        <v>15</v>
      </c>
      <c r="G15" s="338">
        <v>194</v>
      </c>
      <c r="H15" s="338">
        <v>0.95</v>
      </c>
      <c r="I15" s="343">
        <f>piletimüük!C15*piletimüük!G15*piletimüük!H15</f>
        <v>368.59999999999997</v>
      </c>
      <c r="J15" s="344">
        <f>piletimüük!C15*piletimüük!G15</f>
        <v>388</v>
      </c>
    </row>
    <row r="16" spans="1:10" x14ac:dyDescent="0.3">
      <c r="A16" s="340">
        <v>15</v>
      </c>
      <c r="B16" s="340" t="s">
        <v>545</v>
      </c>
      <c r="C16" s="338">
        <v>5</v>
      </c>
      <c r="D16" s="342">
        <f>SUM(piletimüük!F16*piletimüük!G16*piletimüük!H16)</f>
        <v>3132.25</v>
      </c>
      <c r="E16" s="342">
        <f>piletimüük!C16*piletimüük!D16</f>
        <v>15661.25</v>
      </c>
      <c r="F16" s="338">
        <v>6.7</v>
      </c>
      <c r="G16" s="338">
        <v>550</v>
      </c>
      <c r="H16" s="338">
        <v>0.85</v>
      </c>
      <c r="I16" s="343">
        <f>piletimüük!C16*piletimüük!G16*piletimüük!H16</f>
        <v>2337.5</v>
      </c>
      <c r="J16" s="344">
        <f>piletimüük!C16*piletimüük!G16</f>
        <v>2750</v>
      </c>
    </row>
    <row r="17" spans="1:10" x14ac:dyDescent="0.3">
      <c r="A17" s="340">
        <v>16</v>
      </c>
      <c r="B17" s="340" t="s">
        <v>546</v>
      </c>
      <c r="C17" s="338">
        <v>10</v>
      </c>
      <c r="D17" s="342">
        <f>SUM(piletimüük!F17*piletimüük!G17*piletimüük!H17)</f>
        <v>175</v>
      </c>
      <c r="E17" s="342">
        <f>piletimüük!C17*piletimüük!D17</f>
        <v>1750</v>
      </c>
      <c r="F17" s="338">
        <v>5</v>
      </c>
      <c r="G17" s="338">
        <v>50</v>
      </c>
      <c r="H17" s="338">
        <v>0.7</v>
      </c>
      <c r="I17" s="343">
        <f>piletimüük!C17*piletimüük!G17*piletimüük!H17</f>
        <v>350</v>
      </c>
      <c r="J17" s="344">
        <f>piletimüük!C17*piletimüük!G17</f>
        <v>500</v>
      </c>
    </row>
    <row r="18" spans="1:10" x14ac:dyDescent="0.3">
      <c r="A18" s="340">
        <v>17</v>
      </c>
      <c r="B18" s="340" t="s">
        <v>547</v>
      </c>
      <c r="C18" s="338">
        <v>2</v>
      </c>
      <c r="D18" s="342">
        <f>SUM(piletimüük!F18*piletimüük!G18*piletimüük!H18)</f>
        <v>1330</v>
      </c>
      <c r="E18" s="342">
        <f>piletimüük!C18*piletimüük!D18</f>
        <v>2660</v>
      </c>
      <c r="F18" s="338">
        <v>14</v>
      </c>
      <c r="G18" s="338">
        <v>100</v>
      </c>
      <c r="H18" s="338">
        <v>0.95</v>
      </c>
      <c r="I18" s="343">
        <f>piletimüük!C18*piletimüük!G18*piletimüük!H18</f>
        <v>190</v>
      </c>
      <c r="J18" s="344">
        <f>piletimüük!C18*piletimüük!G18</f>
        <v>200</v>
      </c>
    </row>
    <row r="19" spans="1:10" x14ac:dyDescent="0.3">
      <c r="A19" s="340"/>
      <c r="B19" s="339" t="s">
        <v>548</v>
      </c>
      <c r="C19" s="345">
        <f>SUM(piletimüük!C2:C18)</f>
        <v>162</v>
      </c>
      <c r="D19" s="345"/>
      <c r="E19" s="346">
        <f>SUM(piletimüük!E2:E18)</f>
        <v>255658.75</v>
      </c>
      <c r="F19" s="340"/>
      <c r="G19" s="340"/>
      <c r="H19" s="340"/>
      <c r="I19" s="343">
        <f>SUM(piletimüük!I2:I18)</f>
        <v>24049.899999999998</v>
      </c>
      <c r="J19" s="343">
        <f>SUM(piletimüük!J2:J18)</f>
        <v>30296</v>
      </c>
    </row>
    <row r="21" spans="1:10" x14ac:dyDescent="0.3">
      <c r="B21" s="347" t="s">
        <v>549</v>
      </c>
      <c r="C21" s="296">
        <f>piletimüük!I19/(piletimüük!J19/100)/100</f>
        <v>0.79383086876155262</v>
      </c>
    </row>
    <row r="22" spans="1:10" x14ac:dyDescent="0.3">
      <c r="B22" s="347" t="s">
        <v>550</v>
      </c>
      <c r="C22" s="296">
        <f>piletimüük!E19/piletimüük!I19</f>
        <v>10.630345656322897</v>
      </c>
    </row>
    <row r="24" spans="1:10" x14ac:dyDescent="0.3">
      <c r="B24" t="s">
        <v>551</v>
      </c>
      <c r="C24">
        <v>0.75</v>
      </c>
    </row>
    <row r="25" spans="1:10" x14ac:dyDescent="0.3">
      <c r="B25" t="s">
        <v>552</v>
      </c>
      <c r="C25">
        <v>13.38</v>
      </c>
    </row>
  </sheetData>
  <pageMargins left="0.75" right="0.75" top="1" bottom="1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B65"/>
  <sheetViews>
    <sheetView tabSelected="1" zoomScale="120" zoomScaleNormal="12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9" sqref="C9"/>
    </sheetView>
  </sheetViews>
  <sheetFormatPr defaultColWidth="8.796875" defaultRowHeight="15.6" x14ac:dyDescent="0.3"/>
  <cols>
    <col min="1" max="1" width="3.5" style="350" customWidth="1"/>
    <col min="2" max="2" width="40.5" style="350" customWidth="1"/>
    <col min="3" max="3" width="12.796875" style="349" customWidth="1"/>
    <col min="4" max="1017" width="8.5" style="350" customWidth="1"/>
    <col min="1018" max="16384" width="8.796875" style="350"/>
  </cols>
  <sheetData>
    <row r="2" spans="2:1016" x14ac:dyDescent="0.3">
      <c r="B2" s="365" t="s">
        <v>609</v>
      </c>
    </row>
    <row r="3" spans="2:1016" ht="16.05" customHeight="1" x14ac:dyDescent="0.3">
      <c r="B3" s="375" t="s">
        <v>610</v>
      </c>
    </row>
    <row r="5" spans="2:1016" s="366" customFormat="1" ht="16.05" customHeight="1" x14ac:dyDescent="0.3">
      <c r="B5" s="370"/>
      <c r="C5" s="406" t="s">
        <v>608</v>
      </c>
      <c r="ALX5" s="367"/>
      <c r="ALY5" s="367"/>
      <c r="ALZ5" s="367"/>
      <c r="AMA5" s="367"/>
      <c r="AMB5" s="367"/>
    </row>
    <row r="6" spans="2:1016" s="366" customFormat="1" x14ac:dyDescent="0.3">
      <c r="B6" s="369" t="s">
        <v>4</v>
      </c>
      <c r="C6" s="406"/>
      <c r="ALX6" s="367"/>
      <c r="ALY6" s="367"/>
      <c r="ALZ6" s="367"/>
      <c r="AMA6" s="367"/>
      <c r="AMB6" s="367"/>
    </row>
    <row r="7" spans="2:1016" x14ac:dyDescent="0.3">
      <c r="B7" s="355" t="s">
        <v>560</v>
      </c>
      <c r="C7" s="360">
        <v>140000</v>
      </c>
    </row>
    <row r="8" spans="2:1016" ht="16.05" customHeight="1" x14ac:dyDescent="0.3">
      <c r="B8" s="355" t="s">
        <v>598</v>
      </c>
      <c r="C8" s="360">
        <v>7810</v>
      </c>
    </row>
    <row r="9" spans="2:1016" ht="16.05" customHeight="1" x14ac:dyDescent="0.3">
      <c r="B9" s="355" t="s">
        <v>599</v>
      </c>
      <c r="C9" s="360">
        <v>74000</v>
      </c>
    </row>
    <row r="10" spans="2:1016" ht="16.05" customHeight="1" x14ac:dyDescent="0.3">
      <c r="B10" s="371" t="s">
        <v>603</v>
      </c>
      <c r="C10" s="361">
        <v>4000</v>
      </c>
    </row>
    <row r="11" spans="2:1016" x14ac:dyDescent="0.3">
      <c r="B11" s="355" t="s">
        <v>557</v>
      </c>
      <c r="C11" s="360">
        <v>13000</v>
      </c>
    </row>
    <row r="12" spans="2:1016" x14ac:dyDescent="0.3">
      <c r="B12" s="355" t="s">
        <v>558</v>
      </c>
      <c r="C12" s="360">
        <v>14237</v>
      </c>
    </row>
    <row r="13" spans="2:1016" x14ac:dyDescent="0.3">
      <c r="B13" s="355" t="s">
        <v>600</v>
      </c>
      <c r="C13" s="360">
        <v>86000</v>
      </c>
    </row>
    <row r="14" spans="2:1016" s="348" customFormat="1" x14ac:dyDescent="0.3">
      <c r="B14" s="357" t="s">
        <v>26</v>
      </c>
      <c r="C14" s="359">
        <f>SUM(C7:C13)</f>
        <v>339047</v>
      </c>
      <c r="ALX14" s="350"/>
      <c r="ALY14" s="350"/>
      <c r="ALZ14" s="350"/>
      <c r="AMA14" s="350"/>
      <c r="AMB14" s="350"/>
    </row>
    <row r="15" spans="2:1016" s="348" customFormat="1" ht="18.75" customHeight="1" x14ac:dyDescent="0.3">
      <c r="B15" s="354" t="s">
        <v>483</v>
      </c>
      <c r="C15" s="368"/>
      <c r="ALX15" s="350"/>
      <c r="ALY15" s="350"/>
      <c r="ALZ15" s="350"/>
      <c r="AMA15" s="350"/>
      <c r="AMB15" s="350"/>
    </row>
    <row r="16" spans="2:1016" ht="15" customHeight="1" x14ac:dyDescent="0.3">
      <c r="B16" s="355" t="s">
        <v>556</v>
      </c>
      <c r="C16" s="359">
        <f>SUM(C17:C24)</f>
        <v>80000</v>
      </c>
    </row>
    <row r="17" spans="1:3" ht="15" customHeight="1" x14ac:dyDescent="0.3">
      <c r="B17" s="355" t="s">
        <v>565</v>
      </c>
      <c r="C17" s="360">
        <v>23000</v>
      </c>
    </row>
    <row r="18" spans="1:3" ht="15" customHeight="1" x14ac:dyDescent="0.3">
      <c r="B18" s="355" t="s">
        <v>566</v>
      </c>
      <c r="C18" s="360">
        <v>22000</v>
      </c>
    </row>
    <row r="19" spans="1:3" ht="15" customHeight="1" x14ac:dyDescent="0.3">
      <c r="B19" s="355" t="s">
        <v>567</v>
      </c>
      <c r="C19" s="360">
        <v>5000</v>
      </c>
    </row>
    <row r="20" spans="1:3" ht="15" customHeight="1" x14ac:dyDescent="0.3">
      <c r="B20" s="355" t="s">
        <v>568</v>
      </c>
      <c r="C20" s="360">
        <v>700</v>
      </c>
    </row>
    <row r="21" spans="1:3" ht="15" customHeight="1" x14ac:dyDescent="0.3">
      <c r="B21" s="355" t="s">
        <v>569</v>
      </c>
      <c r="C21" s="374">
        <v>7000</v>
      </c>
    </row>
    <row r="22" spans="1:3" ht="16.05" customHeight="1" x14ac:dyDescent="0.3">
      <c r="B22" s="372" t="s">
        <v>570</v>
      </c>
      <c r="C22" s="361">
        <v>12000</v>
      </c>
    </row>
    <row r="23" spans="1:3" ht="15" customHeight="1" x14ac:dyDescent="0.3">
      <c r="B23" s="355" t="s">
        <v>571</v>
      </c>
      <c r="C23" s="360">
        <v>1300</v>
      </c>
    </row>
    <row r="24" spans="1:3" ht="15" customHeight="1" x14ac:dyDescent="0.3">
      <c r="B24" s="355" t="s">
        <v>605</v>
      </c>
      <c r="C24" s="360">
        <v>9000</v>
      </c>
    </row>
    <row r="25" spans="1:3" ht="15" customHeight="1" x14ac:dyDescent="0.3">
      <c r="B25" s="355" t="s">
        <v>601</v>
      </c>
      <c r="C25" s="359">
        <f>SUM(C26:C31)</f>
        <v>11000</v>
      </c>
    </row>
    <row r="26" spans="1:3" ht="15" customHeight="1" x14ac:dyDescent="0.3">
      <c r="B26" s="355" t="s">
        <v>606</v>
      </c>
      <c r="C26" s="360">
        <v>3000</v>
      </c>
    </row>
    <row r="27" spans="1:3" ht="15" customHeight="1" x14ac:dyDescent="0.3">
      <c r="A27" s="350" t="s">
        <v>572</v>
      </c>
      <c r="B27" s="355" t="s">
        <v>573</v>
      </c>
      <c r="C27" s="360">
        <v>2000</v>
      </c>
    </row>
    <row r="28" spans="1:3" ht="15" customHeight="1" x14ac:dyDescent="0.3">
      <c r="B28" s="355" t="s">
        <v>574</v>
      </c>
      <c r="C28" s="360">
        <v>1000</v>
      </c>
    </row>
    <row r="29" spans="1:3" ht="15" customHeight="1" x14ac:dyDescent="0.3">
      <c r="B29" s="355" t="s">
        <v>575</v>
      </c>
      <c r="C29" s="360">
        <v>1000</v>
      </c>
    </row>
    <row r="30" spans="1:3" ht="15" customHeight="1" x14ac:dyDescent="0.3">
      <c r="B30" s="355" t="s">
        <v>594</v>
      </c>
      <c r="C30" s="360">
        <v>1000</v>
      </c>
    </row>
    <row r="31" spans="1:3" ht="15" customHeight="1" x14ac:dyDescent="0.3">
      <c r="B31" s="355" t="s">
        <v>576</v>
      </c>
      <c r="C31" s="360">
        <v>3000</v>
      </c>
    </row>
    <row r="32" spans="1:3" ht="15" customHeight="1" x14ac:dyDescent="0.3">
      <c r="B32" s="355" t="s">
        <v>559</v>
      </c>
      <c r="C32" s="359">
        <f>SUM(C33:C39)</f>
        <v>30000</v>
      </c>
    </row>
    <row r="33" spans="2:4" ht="15" customHeight="1" x14ac:dyDescent="0.3">
      <c r="B33" s="355" t="s">
        <v>577</v>
      </c>
      <c r="C33" s="360">
        <v>2000</v>
      </c>
    </row>
    <row r="34" spans="2:4" ht="15" customHeight="1" x14ac:dyDescent="0.3">
      <c r="B34" s="355" t="s">
        <v>578</v>
      </c>
      <c r="C34" s="360">
        <v>2000</v>
      </c>
    </row>
    <row r="35" spans="2:4" ht="15" customHeight="1" x14ac:dyDescent="0.3">
      <c r="B35" s="355" t="s">
        <v>579</v>
      </c>
      <c r="C35" s="360">
        <v>5000</v>
      </c>
    </row>
    <row r="36" spans="2:4" ht="15" customHeight="1" x14ac:dyDescent="0.3">
      <c r="B36" s="355" t="s">
        <v>595</v>
      </c>
      <c r="C36" s="360">
        <v>7000</v>
      </c>
    </row>
    <row r="37" spans="2:4" ht="15" customHeight="1" x14ac:dyDescent="0.3">
      <c r="B37" s="355" t="s">
        <v>580</v>
      </c>
      <c r="C37" s="360">
        <v>4000</v>
      </c>
    </row>
    <row r="38" spans="2:4" ht="15" customHeight="1" x14ac:dyDescent="0.3">
      <c r="B38" s="355" t="s">
        <v>581</v>
      </c>
      <c r="C38" s="360">
        <v>6000</v>
      </c>
    </row>
    <row r="39" spans="2:4" ht="15" customHeight="1" x14ac:dyDescent="0.3">
      <c r="B39" s="355" t="s">
        <v>582</v>
      </c>
      <c r="C39" s="360">
        <v>4000</v>
      </c>
    </row>
    <row r="40" spans="2:4" ht="15" customHeight="1" x14ac:dyDescent="0.3">
      <c r="B40" s="355" t="s">
        <v>555</v>
      </c>
      <c r="C40" s="364">
        <f>SUM(C41:C45)</f>
        <v>10000</v>
      </c>
    </row>
    <row r="41" spans="2:4" ht="15" customHeight="1" x14ac:dyDescent="0.3">
      <c r="B41" s="355" t="s">
        <v>583</v>
      </c>
      <c r="C41" s="360">
        <v>1100</v>
      </c>
    </row>
    <row r="42" spans="2:4" ht="15" customHeight="1" x14ac:dyDescent="0.3">
      <c r="B42" s="355" t="s">
        <v>584</v>
      </c>
      <c r="C42" s="360">
        <v>1200</v>
      </c>
    </row>
    <row r="43" spans="2:4" x14ac:dyDescent="0.3">
      <c r="B43" s="372" t="s">
        <v>597</v>
      </c>
      <c r="C43" s="361">
        <v>6000</v>
      </c>
      <c r="D43" s="353"/>
    </row>
    <row r="44" spans="2:4" ht="15" customHeight="1" x14ac:dyDescent="0.3">
      <c r="B44" s="355" t="s">
        <v>596</v>
      </c>
      <c r="C44" s="360">
        <v>1120</v>
      </c>
    </row>
    <row r="45" spans="2:4" ht="15" customHeight="1" x14ac:dyDescent="0.3">
      <c r="B45" s="355" t="s">
        <v>604</v>
      </c>
      <c r="C45" s="360">
        <v>580</v>
      </c>
    </row>
    <row r="46" spans="2:4" x14ac:dyDescent="0.3">
      <c r="B46" s="372" t="s">
        <v>554</v>
      </c>
      <c r="C46" s="363">
        <v>3500</v>
      </c>
    </row>
    <row r="47" spans="2:4" ht="16.05" customHeight="1" x14ac:dyDescent="0.3">
      <c r="B47" s="372" t="s">
        <v>562</v>
      </c>
      <c r="C47" s="363">
        <v>3000</v>
      </c>
    </row>
    <row r="48" spans="2:4" ht="15" customHeight="1" x14ac:dyDescent="0.3">
      <c r="B48" s="356" t="s">
        <v>563</v>
      </c>
      <c r="C48" s="363">
        <v>4750</v>
      </c>
    </row>
    <row r="49" spans="1:1016" ht="15" customHeight="1" x14ac:dyDescent="0.3">
      <c r="B49" s="356" t="s">
        <v>564</v>
      </c>
      <c r="C49" s="363">
        <v>3060</v>
      </c>
    </row>
    <row r="50" spans="1:1016" ht="15" customHeight="1" x14ac:dyDescent="0.3">
      <c r="B50" s="358" t="s">
        <v>561</v>
      </c>
      <c r="C50" s="359">
        <f>SUM(C51:C60)</f>
        <v>136382</v>
      </c>
    </row>
    <row r="51" spans="1:1016" x14ac:dyDescent="0.3">
      <c r="B51" s="355" t="s">
        <v>585</v>
      </c>
      <c r="C51" s="360">
        <v>28185</v>
      </c>
    </row>
    <row r="52" spans="1:1016" x14ac:dyDescent="0.3">
      <c r="B52" s="355" t="s">
        <v>586</v>
      </c>
      <c r="C52" s="360">
        <v>18106</v>
      </c>
    </row>
    <row r="53" spans="1:1016" x14ac:dyDescent="0.3">
      <c r="A53" s="350" t="s">
        <v>572</v>
      </c>
      <c r="B53" s="355" t="s">
        <v>602</v>
      </c>
      <c r="C53" s="360">
        <v>15692</v>
      </c>
    </row>
    <row r="54" spans="1:1016" x14ac:dyDescent="0.3">
      <c r="B54" s="355" t="s">
        <v>587</v>
      </c>
      <c r="C54" s="360">
        <v>7846</v>
      </c>
    </row>
    <row r="55" spans="1:1016" x14ac:dyDescent="0.3">
      <c r="B55" s="355" t="s">
        <v>588</v>
      </c>
      <c r="C55" s="360">
        <v>7846</v>
      </c>
    </row>
    <row r="56" spans="1:1016" x14ac:dyDescent="0.3">
      <c r="B56" s="355" t="s">
        <v>589</v>
      </c>
      <c r="C56" s="360">
        <v>12613</v>
      </c>
    </row>
    <row r="57" spans="1:1016" x14ac:dyDescent="0.3">
      <c r="B57" s="355" t="s">
        <v>590</v>
      </c>
      <c r="C57" s="360">
        <v>4225</v>
      </c>
    </row>
    <row r="58" spans="1:1016" x14ac:dyDescent="0.3">
      <c r="B58" s="355" t="s">
        <v>591</v>
      </c>
      <c r="C58" s="360">
        <v>29869</v>
      </c>
    </row>
    <row r="59" spans="1:1016" x14ac:dyDescent="0.3">
      <c r="B59" s="355" t="s">
        <v>592</v>
      </c>
      <c r="C59" s="360">
        <v>9000</v>
      </c>
    </row>
    <row r="60" spans="1:1016" x14ac:dyDescent="0.3">
      <c r="B60" s="355" t="s">
        <v>593</v>
      </c>
      <c r="C60" s="360">
        <v>3000</v>
      </c>
    </row>
    <row r="61" spans="1:1016" x14ac:dyDescent="0.3">
      <c r="B61" s="358" t="s">
        <v>607</v>
      </c>
      <c r="C61" s="359">
        <v>10000</v>
      </c>
    </row>
    <row r="62" spans="1:1016" x14ac:dyDescent="0.3">
      <c r="B62" s="358"/>
      <c r="C62" s="359"/>
    </row>
    <row r="63" spans="1:1016" s="348" customFormat="1" x14ac:dyDescent="0.3">
      <c r="B63" s="373" t="s">
        <v>26</v>
      </c>
      <c r="C63" s="359">
        <f>SUM(C16+C25+C32+C40+C46+C47+C50+C48+C49+C61)</f>
        <v>291692</v>
      </c>
      <c r="ALX63" s="350"/>
      <c r="ALY63" s="350"/>
      <c r="ALZ63" s="350"/>
      <c r="AMA63" s="350"/>
      <c r="AMB63" s="350"/>
    </row>
    <row r="64" spans="1:1016" s="348" customFormat="1" x14ac:dyDescent="0.3">
      <c r="B64" s="354" t="s">
        <v>553</v>
      </c>
      <c r="C64" s="362">
        <f>C14-C63</f>
        <v>47355</v>
      </c>
      <c r="ALX64" s="350"/>
      <c r="ALY64" s="350"/>
      <c r="ALZ64" s="350"/>
      <c r="AMA64" s="350"/>
      <c r="AMB64" s="350"/>
    </row>
    <row r="65" spans="2:1016" s="348" customFormat="1" x14ac:dyDescent="0.3">
      <c r="B65" s="352"/>
      <c r="C65" s="351"/>
      <c r="ALX65" s="350"/>
      <c r="ALY65" s="350"/>
      <c r="ALZ65" s="350"/>
      <c r="AMA65" s="350"/>
      <c r="AMB65" s="350"/>
    </row>
  </sheetData>
  <mergeCells count="1">
    <mergeCell ref="C5:C6"/>
  </mergeCells>
  <phoneticPr fontId="61" type="noConversion"/>
  <pageMargins left="0.7" right="0.7" top="0.75" bottom="0.75" header="0.3" footer="0.3"/>
  <pageSetup paperSize="9" scale="60" fitToHeight="2" orientation="portrait" r:id="rId1"/>
  <ignoredErrors>
    <ignoredError sqref="C50 C16 C32 C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6</vt:i4>
      </vt:variant>
    </vt:vector>
  </HeadingPairs>
  <TitlesOfParts>
    <vt:vector size="6" baseType="lpstr">
      <vt:lpstr>tulud</vt:lpstr>
      <vt:lpstr>kulud</vt:lpstr>
      <vt:lpstr>KOHVIK</vt:lpstr>
      <vt:lpstr>Resto</vt:lpstr>
      <vt:lpstr>piletimüük</vt:lpstr>
      <vt:lpstr>2020</vt:lpstr>
    </vt:vector>
  </TitlesOfParts>
  <Company>Vedel Kaader OÜ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Aguraiuja</dc:creator>
  <dc:description/>
  <cp:lastModifiedBy>Katre Väli</cp:lastModifiedBy>
  <cp:revision>716</cp:revision>
  <cp:lastPrinted>2020-11-09T13:28:40Z</cp:lastPrinted>
  <dcterms:created xsi:type="dcterms:W3CDTF">2015-10-07T10:45:27Z</dcterms:created>
  <dcterms:modified xsi:type="dcterms:W3CDTF">2021-02-09T08:54:58Z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Vedel Kaader OÜ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